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codeName="{7A2D7E96-6E34-419A-AE5F-296B3A7E7977}"/>
  <workbookPr codeName="ThisWorkbook"/>
  <mc:AlternateContent xmlns:mc="http://schemas.openxmlformats.org/markup-compatibility/2006">
    <mc:Choice Requires="x15">
      <x15ac:absPath xmlns:x15ac="http://schemas.microsoft.com/office/spreadsheetml/2010/11/ac" url="Y:\Finance\Finance Mgmt\2018 Mid-Term Rate App Update\1 Models\Models Filed Jun 30th\"/>
    </mc:Choice>
  </mc:AlternateContent>
  <bookViews>
    <workbookView xWindow="900" yWindow="-150" windowWidth="12945" windowHeight="8580" tabRatio="968" firstSheet="1" activeTab="9"/>
  </bookViews>
  <sheets>
    <sheet name="1. Info" sheetId="26" r:id="rId1"/>
    <sheet name="2. Table of Contents" sheetId="17" r:id="rId2"/>
    <sheet name="3. Data_Input_Sheet" sheetId="22" r:id="rId3"/>
    <sheet name="4. Rate_Base" sheetId="14" r:id="rId4"/>
    <sheet name="5. Utility Income" sheetId="13" r:id="rId5"/>
    <sheet name="6. Taxes_PILs" sheetId="15" r:id="rId6"/>
    <sheet name="7. Cost_of_Capital" sheetId="12" r:id="rId7"/>
    <sheet name="8. Rev_Def_Suff" sheetId="23" r:id="rId8"/>
    <sheet name="9. Rev_Reqt" sheetId="11" r:id="rId9"/>
    <sheet name="10. Tracking_Sheet" sheetId="29" r:id="rId10"/>
    <sheet name="Not part of Model ==&gt;" sheetId="27" r:id="rId11"/>
    <sheet name="Data" sheetId="28" r:id="rId12"/>
  </sheets>
  <externalReferences>
    <externalReference r:id="rId13"/>
    <externalReference r:id="rId14"/>
  </externalReferences>
  <definedNames>
    <definedName name="LDC_LIST">[1]lists!$AM$1:$AM$80</definedName>
    <definedName name="_xlnm.Print_Area" localSheetId="0">'1. Info'!$A$1:$Q$41</definedName>
    <definedName name="_xlnm.Print_Area" localSheetId="9">'10. Tracking_Sheet'!$B$16:$O$211</definedName>
    <definedName name="_xlnm.Print_Area" localSheetId="1">'2. Table of Contents'!$A$1:$O$30</definedName>
    <definedName name="_xlnm.Print_Area" localSheetId="2">'3. Data_Input_Sheet'!$A$1:$X$89</definedName>
    <definedName name="_xlnm.Print_Area" localSheetId="3">'4. Rate_Base'!$A$1:$X$42</definedName>
    <definedName name="_xlnm.Print_Area" localSheetId="4">'5. Utility Income'!$A$1:$W$57</definedName>
    <definedName name="_xlnm.Print_Area" localSheetId="5">'6. Taxes_PILs'!$A$1:$R$53</definedName>
    <definedName name="_xlnm.Print_Area" localSheetId="6">'7. Cost_of_Capital'!$A$1:$T$69</definedName>
    <definedName name="_xlnm.Print_Area" localSheetId="7">'8. Rev_Def_Suff'!$B$1:$Q$61</definedName>
    <definedName name="_xlnm.Print_Area" localSheetId="8">'9. Rev_Reqt'!$A$1:$R$46</definedName>
    <definedName name="ratedescription">[2]hidden1!$D$1:$D$122</definedName>
    <definedName name="units">[2]hidden1!$J$3:$J$8</definedName>
  </definedNames>
  <calcPr calcId="152511" iterate="1"/>
</workbook>
</file>

<file path=xl/calcChain.xml><?xml version="1.0" encoding="utf-8"?>
<calcChain xmlns="http://schemas.openxmlformats.org/spreadsheetml/2006/main">
  <c r="O85" i="29" l="1"/>
  <c r="N85" i="29"/>
  <c r="M85" i="29"/>
  <c r="L85" i="29"/>
  <c r="K85" i="29"/>
  <c r="J85" i="29"/>
  <c r="I85" i="29"/>
  <c r="H85" i="29"/>
  <c r="G85" i="29"/>
  <c r="F85" i="29"/>
  <c r="E85" i="29"/>
  <c r="D85" i="29"/>
  <c r="M65" i="22" l="1"/>
  <c r="U65" i="22"/>
  <c r="O115" i="29" l="1"/>
  <c r="N115" i="29"/>
  <c r="M115" i="29"/>
  <c r="L115" i="29"/>
  <c r="K115" i="29"/>
  <c r="J115" i="29"/>
  <c r="I115" i="29"/>
  <c r="H115" i="29"/>
  <c r="G115" i="29"/>
  <c r="F115" i="29"/>
  <c r="E115" i="29"/>
  <c r="D115" i="29"/>
  <c r="O111" i="29"/>
  <c r="N111" i="29"/>
  <c r="M111" i="29"/>
  <c r="L111" i="29"/>
  <c r="K111" i="29"/>
  <c r="J111" i="29"/>
  <c r="I111" i="29"/>
  <c r="H111" i="29"/>
  <c r="G111" i="29"/>
  <c r="F111" i="29"/>
  <c r="E111" i="29"/>
  <c r="D111" i="29"/>
  <c r="O107" i="29"/>
  <c r="N107" i="29"/>
  <c r="M107" i="29"/>
  <c r="L107" i="29"/>
  <c r="K107" i="29"/>
  <c r="J107" i="29"/>
  <c r="I107" i="29"/>
  <c r="H107" i="29"/>
  <c r="G107" i="29"/>
  <c r="F107" i="29"/>
  <c r="E107" i="29"/>
  <c r="D107" i="29"/>
  <c r="O103" i="29"/>
  <c r="N103" i="29"/>
  <c r="M103" i="29"/>
  <c r="L103" i="29"/>
  <c r="K103" i="29"/>
  <c r="J103" i="29"/>
  <c r="I103" i="29"/>
  <c r="H103" i="29"/>
  <c r="G103" i="29"/>
  <c r="F103" i="29"/>
  <c r="E103" i="29"/>
  <c r="D103" i="29"/>
  <c r="O99" i="29"/>
  <c r="N99" i="29"/>
  <c r="M99" i="29"/>
  <c r="L99" i="29"/>
  <c r="K99" i="29"/>
  <c r="J99" i="29"/>
  <c r="I99" i="29"/>
  <c r="H99" i="29"/>
  <c r="G99" i="29"/>
  <c r="F99" i="29"/>
  <c r="E99" i="29"/>
  <c r="D99" i="29"/>
  <c r="L100" i="29" l="1"/>
  <c r="L101" i="29"/>
  <c r="L104" i="29"/>
  <c r="L105" i="29"/>
  <c r="L108" i="29"/>
  <c r="L109" i="29"/>
  <c r="L112" i="29"/>
  <c r="L113" i="29"/>
  <c r="L116" i="29"/>
  <c r="L117" i="29"/>
  <c r="E100" i="29"/>
  <c r="E101" i="29"/>
  <c r="I100" i="29"/>
  <c r="I101" i="29"/>
  <c r="M100" i="29"/>
  <c r="M101" i="29"/>
  <c r="E104" i="29"/>
  <c r="E105" i="29"/>
  <c r="I104" i="29"/>
  <c r="I105" i="29"/>
  <c r="M104" i="29"/>
  <c r="M105" i="29"/>
  <c r="E108" i="29"/>
  <c r="E109" i="29"/>
  <c r="I108" i="29"/>
  <c r="I109" i="29"/>
  <c r="M108" i="29"/>
  <c r="M109" i="29"/>
  <c r="E112" i="29"/>
  <c r="E113" i="29"/>
  <c r="I112" i="29"/>
  <c r="I113" i="29"/>
  <c r="M112" i="29"/>
  <c r="M113" i="29"/>
  <c r="E116" i="29"/>
  <c r="E117" i="29"/>
  <c r="I116" i="29"/>
  <c r="I117" i="29"/>
  <c r="M116" i="29"/>
  <c r="M117" i="29"/>
  <c r="H100" i="29"/>
  <c r="H101" i="29"/>
  <c r="H104" i="29"/>
  <c r="H105" i="29"/>
  <c r="H108" i="29"/>
  <c r="H109" i="29"/>
  <c r="H112" i="29"/>
  <c r="H113" i="29"/>
  <c r="H116" i="29"/>
  <c r="H117" i="29"/>
  <c r="F100" i="29"/>
  <c r="F101" i="29"/>
  <c r="J100" i="29"/>
  <c r="J101" i="29"/>
  <c r="N100" i="29"/>
  <c r="N101" i="29"/>
  <c r="F104" i="29"/>
  <c r="F105" i="29"/>
  <c r="J104" i="29"/>
  <c r="J105" i="29"/>
  <c r="N104" i="29"/>
  <c r="N105" i="29"/>
  <c r="F108" i="29"/>
  <c r="F109" i="29"/>
  <c r="J108" i="29"/>
  <c r="J109" i="29"/>
  <c r="N108" i="29"/>
  <c r="N109" i="29"/>
  <c r="F112" i="29"/>
  <c r="F113" i="29"/>
  <c r="J112" i="29"/>
  <c r="J113" i="29"/>
  <c r="N112" i="29"/>
  <c r="N113" i="29"/>
  <c r="F116" i="29"/>
  <c r="F117" i="29"/>
  <c r="J116" i="29"/>
  <c r="J117" i="29"/>
  <c r="N116" i="29"/>
  <c r="N117" i="29"/>
  <c r="D100" i="29"/>
  <c r="D101" i="29"/>
  <c r="D104" i="29"/>
  <c r="D105" i="29"/>
  <c r="D108" i="29"/>
  <c r="D109" i="29"/>
  <c r="D112" i="29"/>
  <c r="D113" i="29"/>
  <c r="D116" i="29"/>
  <c r="D117" i="29"/>
  <c r="G100" i="29"/>
  <c r="G101" i="29"/>
  <c r="K100" i="29"/>
  <c r="K101" i="29"/>
  <c r="O100" i="29"/>
  <c r="O101" i="29"/>
  <c r="G104" i="29"/>
  <c r="G105" i="29"/>
  <c r="K104" i="29"/>
  <c r="K105" i="29"/>
  <c r="O104" i="29"/>
  <c r="O105" i="29"/>
  <c r="G108" i="29"/>
  <c r="G109" i="29"/>
  <c r="K108" i="29"/>
  <c r="K109" i="29"/>
  <c r="O108" i="29"/>
  <c r="O109" i="29"/>
  <c r="G112" i="29"/>
  <c r="G113" i="29"/>
  <c r="K112" i="29"/>
  <c r="K113" i="29"/>
  <c r="O112" i="29"/>
  <c r="O113" i="29"/>
  <c r="G116" i="29"/>
  <c r="G117" i="29"/>
  <c r="K116" i="29"/>
  <c r="K117" i="29"/>
  <c r="O116" i="29"/>
  <c r="O117" i="29"/>
  <c r="U58" i="22"/>
  <c r="M51" i="22"/>
  <c r="M49" i="22"/>
  <c r="M21" i="22"/>
  <c r="U21" i="22" s="1"/>
  <c r="M56" i="22" l="1"/>
  <c r="U56" i="22"/>
  <c r="M57" i="22"/>
  <c r="U57" i="22"/>
  <c r="M55" i="22"/>
  <c r="U55" i="22"/>
  <c r="E60" i="29"/>
  <c r="Q208" i="29" l="1"/>
  <c r="Q205" i="29"/>
  <c r="Q202" i="29"/>
  <c r="Q199" i="29"/>
  <c r="Q196" i="29"/>
  <c r="Q193" i="29"/>
  <c r="Q190" i="29"/>
  <c r="Q187" i="29"/>
  <c r="Q184" i="29"/>
  <c r="Q181" i="29"/>
  <c r="Q178" i="29"/>
  <c r="Q175" i="29"/>
  <c r="Q172" i="29"/>
  <c r="Q169" i="29"/>
  <c r="Q166" i="29"/>
  <c r="Q163" i="29"/>
  <c r="Q160" i="29"/>
  <c r="Q157" i="29"/>
  <c r="Q154" i="29"/>
  <c r="Q151" i="29"/>
  <c r="Q148" i="29"/>
  <c r="Q145" i="29"/>
  <c r="Q142" i="29"/>
  <c r="Q139" i="29"/>
  <c r="Q136" i="29"/>
  <c r="Q133" i="29"/>
  <c r="Q130" i="29"/>
  <c r="Q127" i="29"/>
  <c r="Q124" i="29"/>
  <c r="Q121" i="29"/>
  <c r="Q118" i="29"/>
  <c r="Q115" i="29"/>
  <c r="Q111" i="29"/>
  <c r="Q107" i="29"/>
  <c r="Q103" i="29"/>
  <c r="Q99" i="29"/>
  <c r="Q95" i="29"/>
  <c r="Q91" i="29"/>
  <c r="Q87" i="29"/>
  <c r="Q83" i="29"/>
  <c r="Q80" i="29"/>
  <c r="Q77" i="29"/>
  <c r="Q74" i="29"/>
  <c r="Q71" i="29"/>
  <c r="Q68" i="29"/>
  <c r="Q65" i="29"/>
  <c r="Q62" i="29"/>
  <c r="Q59" i="29"/>
  <c r="Q56" i="29"/>
  <c r="Q53" i="29"/>
  <c r="Q50" i="29"/>
  <c r="Q47" i="29"/>
  <c r="Q44" i="29"/>
  <c r="Q41" i="29"/>
  <c r="Q38" i="29"/>
  <c r="Q35" i="29"/>
  <c r="Q32" i="29"/>
  <c r="Q29" i="29"/>
  <c r="Q26" i="29"/>
  <c r="Q23" i="29"/>
  <c r="J13" i="23" l="1"/>
  <c r="O11" i="14"/>
  <c r="N13" i="13" l="1"/>
  <c r="J13" i="13" s="1"/>
  <c r="K12" i="15"/>
  <c r="J13" i="11"/>
  <c r="G25" i="15"/>
  <c r="K25" i="15" s="1"/>
  <c r="O25" i="15" s="1"/>
  <c r="F33" i="12"/>
  <c r="L18" i="12"/>
  <c r="F34" i="12"/>
  <c r="L22" i="12"/>
  <c r="F38" i="12"/>
  <c r="L23" i="12"/>
  <c r="L55" i="12" s="1"/>
  <c r="F39" i="12"/>
  <c r="F55" i="12" s="1"/>
  <c r="L39" i="12"/>
  <c r="G28" i="14"/>
  <c r="F17" i="12"/>
  <c r="F18" i="12"/>
  <c r="F22" i="12"/>
  <c r="F23" i="12"/>
  <c r="AC1" i="26"/>
  <c r="F29" i="12" s="1"/>
  <c r="P35" i="23"/>
  <c r="N35" i="23"/>
  <c r="F25" i="13"/>
  <c r="N13" i="11"/>
  <c r="P1" i="23"/>
  <c r="N13" i="23"/>
  <c r="D62" i="12"/>
  <c r="O12" i="15"/>
  <c r="V13" i="13"/>
  <c r="Q12" i="22"/>
  <c r="S11" i="14" s="1"/>
  <c r="W11" i="14"/>
  <c r="U1" i="22"/>
  <c r="I12" i="22"/>
  <c r="K11" i="14" s="1"/>
  <c r="E39" i="22"/>
  <c r="M39" i="22"/>
  <c r="U39" i="22"/>
  <c r="E59" i="22"/>
  <c r="M59" i="22"/>
  <c r="E60" i="22"/>
  <c r="M60" i="22"/>
  <c r="F18" i="11" l="1"/>
  <c r="F35" i="12"/>
  <c r="N18" i="11"/>
  <c r="V25" i="13"/>
  <c r="F40" i="12"/>
  <c r="F24" i="12"/>
  <c r="F19" i="12"/>
  <c r="N25" i="13"/>
  <c r="J18" i="11"/>
  <c r="R13" i="13"/>
  <c r="F26" i="12" l="1"/>
  <c r="L24" i="12"/>
  <c r="R25" i="13"/>
  <c r="J25" i="13"/>
  <c r="F42" i="12"/>
  <c r="H43" i="23" l="1"/>
  <c r="F43" i="23"/>
  <c r="E24" i="29" l="1"/>
  <c r="E27" i="29"/>
  <c r="G24" i="29" l="1"/>
  <c r="K24" i="29" l="1"/>
  <c r="H24" i="29"/>
  <c r="F24" i="29" l="1"/>
  <c r="J24" i="29" l="1"/>
  <c r="L24" i="29" l="1"/>
  <c r="O24" i="29" l="1"/>
  <c r="F35" i="23" l="1"/>
  <c r="G35" i="15"/>
  <c r="K35" i="15" s="1"/>
  <c r="O35" i="15" s="1"/>
  <c r="L35" i="23"/>
  <c r="H35" i="23"/>
  <c r="J35" i="23"/>
  <c r="M24" i="29" l="1"/>
  <c r="M27" i="29"/>
  <c r="I24" i="29" l="1"/>
  <c r="I27" i="29"/>
  <c r="G39" i="15" l="1"/>
  <c r="K39" i="15" l="1"/>
  <c r="O39" i="15" l="1"/>
  <c r="G27" i="29"/>
  <c r="K27" i="29" l="1"/>
  <c r="H27" i="29"/>
  <c r="F27" i="29" l="1"/>
  <c r="D24" i="29" l="1"/>
  <c r="D27" i="29"/>
  <c r="J27" i="29" l="1"/>
  <c r="L27" i="29" l="1"/>
  <c r="N24" i="29" l="1"/>
  <c r="N27" i="29"/>
  <c r="O27" i="29" l="1"/>
  <c r="M30" i="29" l="1"/>
  <c r="I30" i="29" l="1"/>
  <c r="E30" i="29" l="1"/>
  <c r="G30" i="29" l="1"/>
  <c r="K30" i="29" l="1"/>
  <c r="H30" i="29"/>
  <c r="F30" i="29" l="1"/>
  <c r="D30" i="29" l="1"/>
  <c r="J30" i="29" l="1"/>
  <c r="L30" i="29" l="1"/>
  <c r="N30" i="29" l="1"/>
  <c r="O30" i="29" l="1"/>
  <c r="M33" i="29" l="1"/>
  <c r="I33" i="29" l="1"/>
  <c r="E36" i="29" l="1"/>
  <c r="E33" i="29"/>
  <c r="G33" i="29" l="1"/>
  <c r="K33" i="29" l="1"/>
  <c r="H33" i="29"/>
  <c r="F33" i="29" l="1"/>
  <c r="D33" i="29" l="1"/>
  <c r="J33" i="29" l="1"/>
  <c r="L33" i="29" l="1"/>
  <c r="N33" i="29" l="1"/>
  <c r="O33" i="29" l="1"/>
  <c r="G36" i="29" l="1"/>
  <c r="K36" i="29" l="1"/>
  <c r="H36" i="29"/>
  <c r="F36" i="29" l="1"/>
  <c r="J36" i="29" l="1"/>
  <c r="L36" i="29" l="1"/>
  <c r="O36" i="29" l="1"/>
  <c r="M36" i="29" l="1"/>
  <c r="I36" i="29" l="1"/>
  <c r="D36" i="29" l="1"/>
  <c r="N36" i="29" l="1"/>
  <c r="L17" i="12" l="1"/>
  <c r="L19" i="12"/>
  <c r="L26" i="12" s="1"/>
  <c r="E39" i="29" l="1"/>
  <c r="H47" i="23"/>
  <c r="F47" i="23"/>
  <c r="F47" i="13" l="1"/>
  <c r="F46" i="13" l="1"/>
  <c r="G13" i="14" l="1"/>
  <c r="F24" i="13" l="1"/>
  <c r="F17" i="11" s="1"/>
  <c r="F45" i="13" l="1"/>
  <c r="F44" i="13" l="1"/>
  <c r="F48" i="13" s="1"/>
  <c r="F21" i="23" s="1"/>
  <c r="F17" i="13" l="1"/>
  <c r="H21" i="23"/>
  <c r="F27" i="11"/>
  <c r="F32" i="11"/>
  <c r="F23" i="13" l="1"/>
  <c r="F16" i="11" s="1"/>
  <c r="G14" i="14" l="1"/>
  <c r="G15" i="14" l="1"/>
  <c r="G18" i="15" l="1"/>
  <c r="F30" i="23"/>
  <c r="H30" i="23"/>
  <c r="G25" i="14" l="1"/>
  <c r="F26" i="13" l="1"/>
  <c r="F20" i="11" s="1"/>
  <c r="G24" i="14" l="1"/>
  <c r="F22" i="13" l="1"/>
  <c r="G26" i="14"/>
  <c r="G30" i="14" l="1"/>
  <c r="F27" i="13"/>
  <c r="F15" i="11"/>
  <c r="H24" i="23" l="1"/>
  <c r="F24" i="23"/>
  <c r="G17" i="14"/>
  <c r="G18" i="14" s="1"/>
  <c r="J26" i="12" l="1"/>
  <c r="F38" i="23"/>
  <c r="H38" i="23"/>
  <c r="J22" i="12" l="1"/>
  <c r="J23" i="12"/>
  <c r="P23" i="12" s="1"/>
  <c r="J17" i="12"/>
  <c r="J18" i="12"/>
  <c r="P18" i="12" s="1"/>
  <c r="P22" i="12" l="1"/>
  <c r="J24" i="12"/>
  <c r="F40" i="23" s="1"/>
  <c r="J19" i="12"/>
  <c r="P17" i="12"/>
  <c r="P19" i="12" s="1"/>
  <c r="F30" i="13" l="1"/>
  <c r="H40" i="23"/>
  <c r="P24" i="12"/>
  <c r="H50" i="23" s="1"/>
  <c r="F50" i="23" s="1"/>
  <c r="G16" i="15"/>
  <c r="G20" i="15" s="1"/>
  <c r="F23" i="11" l="1"/>
  <c r="P26" i="12"/>
  <c r="F25" i="23"/>
  <c r="H25" i="23"/>
  <c r="H26" i="23" s="1"/>
  <c r="F32" i="13"/>
  <c r="G40" i="15" l="1"/>
  <c r="G41" i="15"/>
  <c r="F22" i="11"/>
  <c r="F26" i="23"/>
  <c r="G24" i="15" l="1"/>
  <c r="E47" i="22"/>
  <c r="F33" i="23"/>
  <c r="H33" i="23"/>
  <c r="G29" i="15" l="1"/>
  <c r="G31" i="15" s="1"/>
  <c r="F35" i="13" s="1"/>
  <c r="G26" i="15"/>
  <c r="G33" i="15" l="1"/>
  <c r="F19" i="11" s="1"/>
  <c r="F16" i="13" l="1"/>
  <c r="F25" i="11"/>
  <c r="F31" i="11" l="1"/>
  <c r="F33" i="11" s="1"/>
  <c r="F35" i="11" s="1"/>
  <c r="F18" i="13"/>
  <c r="F34" i="13" s="1"/>
  <c r="F37" i="13" s="1"/>
  <c r="H36" i="23" s="1"/>
  <c r="F28" i="11"/>
  <c r="H46" i="23" l="1"/>
  <c r="H48" i="23" s="1"/>
  <c r="H51" i="23" s="1"/>
  <c r="H42" i="23"/>
  <c r="H44" i="23" s="1"/>
  <c r="F20" i="23" l="1"/>
  <c r="F22" i="23" s="1"/>
  <c r="F28" i="23" s="1"/>
  <c r="F31" i="23" s="1"/>
  <c r="F34" i="23" s="1"/>
  <c r="F36" i="23" s="1"/>
  <c r="F42" i="23" l="1"/>
  <c r="F44" i="23" s="1"/>
  <c r="F51" i="23"/>
  <c r="F52" i="23" s="1"/>
  <c r="F46" i="23"/>
  <c r="F48" i="23" s="1"/>
  <c r="H19" i="23" l="1"/>
  <c r="H20" i="23" s="1"/>
  <c r="H22" i="23" s="1"/>
  <c r="H28" i="23" s="1"/>
  <c r="H31" i="23" s="1"/>
  <c r="H34" i="23" s="1"/>
  <c r="G39" i="29" l="1"/>
  <c r="K39" i="29" l="1"/>
  <c r="H39" i="29"/>
  <c r="F39" i="29" l="1"/>
  <c r="J39" i="29" l="1"/>
  <c r="L39" i="29" l="1"/>
  <c r="O39" i="29" l="1"/>
  <c r="M39" i="29" l="1"/>
  <c r="M42" i="29"/>
  <c r="I39" i="29" l="1"/>
  <c r="I42" i="29"/>
  <c r="E42" i="29" l="1"/>
  <c r="G42" i="29" l="1"/>
  <c r="H42" i="29" l="1"/>
  <c r="K42" i="29"/>
  <c r="F42" i="29" l="1"/>
  <c r="D39" i="29" l="1"/>
  <c r="D42" i="29"/>
  <c r="J42" i="29" l="1"/>
  <c r="L42" i="29" l="1"/>
  <c r="N39" i="29" l="1"/>
  <c r="N42" i="29"/>
  <c r="O42" i="29" l="1"/>
  <c r="E45" i="29" l="1"/>
  <c r="G45" i="29" l="1"/>
  <c r="H45" i="29" l="1"/>
  <c r="K45" i="29"/>
  <c r="F45" i="29" l="1"/>
  <c r="J45" i="29" l="1"/>
  <c r="L45" i="29" l="1"/>
  <c r="O45" i="29" l="1"/>
  <c r="M45" i="29" l="1"/>
  <c r="I45" i="29" l="1"/>
  <c r="D45" i="29" l="1"/>
  <c r="N45" i="29" l="1"/>
  <c r="G48" i="29" l="1"/>
  <c r="H48" i="29" l="1"/>
  <c r="K48" i="29"/>
  <c r="F48" i="29" l="1"/>
  <c r="J48" i="29" l="1"/>
  <c r="L48" i="29" l="1"/>
  <c r="O48" i="29" l="1"/>
  <c r="M48" i="29" l="1"/>
  <c r="M51" i="29"/>
  <c r="I48" i="29" l="1"/>
  <c r="I51" i="29"/>
  <c r="E48" i="29" l="1"/>
  <c r="E51" i="29"/>
  <c r="G51" i="29" l="1"/>
  <c r="K51" i="29" l="1"/>
  <c r="H51" i="29"/>
  <c r="F51" i="29" l="1"/>
  <c r="D48" i="29" l="1"/>
  <c r="D51" i="29"/>
  <c r="J51" i="29" l="1"/>
  <c r="L51" i="29" l="1"/>
  <c r="N48" i="29" l="1"/>
  <c r="N51" i="29"/>
  <c r="O51" i="29" l="1"/>
  <c r="E54" i="29" l="1"/>
  <c r="G54" i="29" l="1"/>
  <c r="K54" i="29" l="1"/>
  <c r="H54" i="29"/>
  <c r="F54" i="29" l="1"/>
  <c r="J54" i="29" l="1"/>
  <c r="L54" i="29" l="1"/>
  <c r="O54" i="29" l="1"/>
  <c r="M60" i="29" l="1"/>
  <c r="M63" i="29"/>
  <c r="M54" i="29"/>
  <c r="M57" i="29"/>
  <c r="I60" i="29" l="1"/>
  <c r="I63" i="29"/>
  <c r="I54" i="29"/>
  <c r="I57" i="29"/>
  <c r="E63" i="29" l="1"/>
  <c r="E57" i="29"/>
  <c r="O28" i="14" l="1"/>
  <c r="K28" i="14" s="1"/>
  <c r="G60" i="29" l="1"/>
  <c r="G63" i="29"/>
  <c r="G57" i="29"/>
  <c r="K60" i="29" l="1"/>
  <c r="K63" i="29"/>
  <c r="H60" i="29"/>
  <c r="H63" i="29"/>
  <c r="K57" i="29"/>
  <c r="H57" i="29"/>
  <c r="F60" i="29" l="1"/>
  <c r="F63" i="29"/>
  <c r="F57" i="29"/>
  <c r="D60" i="29" l="1"/>
  <c r="D63" i="29"/>
  <c r="D54" i="29"/>
  <c r="D57" i="29"/>
  <c r="J60" i="29" l="1"/>
  <c r="J63" i="29"/>
  <c r="J57" i="29"/>
  <c r="L60" i="29" l="1"/>
  <c r="L63" i="29"/>
  <c r="L57" i="29"/>
  <c r="N60" i="29" l="1"/>
  <c r="N63" i="29"/>
  <c r="N54" i="29"/>
  <c r="N57" i="29"/>
  <c r="O60" i="29" l="1"/>
  <c r="O63" i="29"/>
  <c r="O57" i="29"/>
  <c r="F50" i="12" l="1"/>
  <c r="F49" i="12" l="1"/>
  <c r="F51" i="12" s="1"/>
  <c r="U60" i="22" l="1"/>
  <c r="F54" i="12"/>
  <c r="F56" i="12" s="1"/>
  <c r="U59" i="22"/>
  <c r="F58" i="12" l="1"/>
  <c r="M66" i="29" l="1"/>
  <c r="I66" i="29" l="1"/>
  <c r="W28" i="14" l="1"/>
  <c r="S28" i="14" s="1"/>
  <c r="E66" i="29" l="1"/>
  <c r="G66" i="29" l="1"/>
  <c r="H66" i="29" l="1"/>
  <c r="F66" i="29" l="1"/>
  <c r="K66" i="29" l="1"/>
  <c r="D66" i="29" l="1"/>
  <c r="J66" i="29" l="1"/>
  <c r="L66" i="29" l="1"/>
  <c r="N66" i="29" l="1"/>
  <c r="O66" i="29" l="1"/>
  <c r="M69" i="29" l="1"/>
  <c r="I69" i="29" l="1"/>
  <c r="E69" i="29" l="1"/>
  <c r="G69" i="29" l="1"/>
  <c r="K69" i="29" l="1"/>
  <c r="H69" i="29"/>
  <c r="F69" i="29" l="1"/>
  <c r="D69" i="29" l="1"/>
  <c r="J69" i="29" l="1"/>
  <c r="L69" i="29" l="1"/>
  <c r="N69" i="29" l="1"/>
  <c r="O69" i="29" l="1"/>
  <c r="M72" i="29" l="1"/>
  <c r="I72" i="29" l="1"/>
  <c r="E72" i="29" l="1"/>
  <c r="G72" i="29" l="1"/>
  <c r="H72" i="29" l="1"/>
  <c r="K72" i="29"/>
  <c r="F72" i="29" l="1"/>
  <c r="D72" i="29" l="1"/>
  <c r="J72" i="29" l="1"/>
  <c r="L72" i="29" l="1"/>
  <c r="N72" i="29" l="1"/>
  <c r="O72" i="29" l="1"/>
  <c r="M75" i="29" l="1"/>
  <c r="I75" i="29" l="1"/>
  <c r="E75" i="29" l="1"/>
  <c r="G75" i="29" l="1"/>
  <c r="H75" i="29" l="1"/>
  <c r="K75" i="29"/>
  <c r="F75" i="29" l="1"/>
  <c r="D75" i="29" l="1"/>
  <c r="J75" i="29" l="1"/>
  <c r="L75" i="29" l="1"/>
  <c r="N75" i="29" l="1"/>
  <c r="O75" i="29" l="1"/>
  <c r="E78" i="29" l="1"/>
  <c r="M78" i="29" l="1"/>
  <c r="I78" i="29" l="1"/>
  <c r="G78" i="29" l="1"/>
  <c r="K78" i="29" l="1"/>
  <c r="H78" i="29"/>
  <c r="F78" i="29" l="1"/>
  <c r="D78" i="29" l="1"/>
  <c r="J78" i="29" l="1"/>
  <c r="L78" i="29" l="1"/>
  <c r="N78" i="29" l="1"/>
  <c r="O78" i="29" l="1"/>
  <c r="M63" i="22" l="1"/>
  <c r="L34" i="12" s="1"/>
  <c r="U63" i="22"/>
  <c r="L50" i="12" s="1"/>
  <c r="M62" i="22" l="1"/>
  <c r="L33" i="12" s="1"/>
  <c r="L35" i="12" s="1"/>
  <c r="U62" i="22"/>
  <c r="L49" i="12" s="1"/>
  <c r="L51" i="12" s="1"/>
  <c r="M64" i="22" l="1"/>
  <c r="L38" i="12" s="1"/>
  <c r="L40" i="12" s="1"/>
  <c r="U64" i="22"/>
  <c r="L54" i="12" s="1"/>
  <c r="L56" i="12" s="1"/>
  <c r="P43" i="23" l="1"/>
  <c r="N43" i="23"/>
  <c r="L58" i="12"/>
  <c r="E95" i="29" s="1"/>
  <c r="L43" i="23"/>
  <c r="J43" i="23"/>
  <c r="L42" i="12"/>
  <c r="P47" i="23"/>
  <c r="E84" i="29"/>
  <c r="E96" i="29" l="1"/>
  <c r="E97" i="29"/>
  <c r="N47" i="23"/>
  <c r="E93" i="29"/>
  <c r="E92" i="29"/>
  <c r="E88" i="29"/>
  <c r="E89" i="29"/>
  <c r="L47" i="23"/>
  <c r="J47" i="23"/>
  <c r="G84" i="29"/>
  <c r="K84" i="29" l="1"/>
  <c r="H84" i="29"/>
  <c r="F84" i="29" l="1"/>
  <c r="J84" i="29" l="1"/>
  <c r="L84" i="29" l="1"/>
  <c r="O84" i="29" l="1"/>
  <c r="R24" i="13" l="1"/>
  <c r="M84" i="29" l="1"/>
  <c r="R23" i="13" l="1"/>
  <c r="I84" i="29" l="1"/>
  <c r="O18" i="15" l="1"/>
  <c r="R26" i="13" l="1"/>
  <c r="R22" i="13" l="1"/>
  <c r="R27" i="13" s="1"/>
  <c r="D84" i="29" l="1"/>
  <c r="U47" i="22" l="1"/>
  <c r="N84" i="29" l="1"/>
  <c r="S13" i="14" l="1"/>
  <c r="S14" i="14"/>
  <c r="S15" i="14"/>
  <c r="S24" i="14"/>
  <c r="S25" i="14"/>
  <c r="S26" i="14"/>
  <c r="M88" i="29" l="1"/>
  <c r="M89" i="29"/>
  <c r="I88" i="29" l="1"/>
  <c r="I89" i="29"/>
  <c r="G88" i="29" l="1"/>
  <c r="G89" i="29"/>
  <c r="K88" i="29"/>
  <c r="K89" i="29"/>
  <c r="H88" i="29" l="1"/>
  <c r="H89" i="29"/>
  <c r="F88" i="29" l="1"/>
  <c r="F89" i="29"/>
  <c r="D88" i="29" l="1"/>
  <c r="D89" i="29"/>
  <c r="J88" i="29" l="1"/>
  <c r="J89" i="29"/>
  <c r="N88" i="29" l="1"/>
  <c r="N89" i="29"/>
  <c r="L88" i="29"/>
  <c r="L89" i="29"/>
  <c r="O88" i="29" l="1"/>
  <c r="O89" i="29"/>
  <c r="M92" i="29" l="1"/>
  <c r="M93" i="29"/>
  <c r="I92" i="29" l="1"/>
  <c r="I93" i="29"/>
  <c r="G92" i="29" l="1"/>
  <c r="G93" i="29"/>
  <c r="K92" i="29" l="1"/>
  <c r="K93" i="29"/>
  <c r="H92" i="29"/>
  <c r="H93" i="29"/>
  <c r="F93" i="29" l="1"/>
  <c r="F92" i="29"/>
  <c r="D93" i="29" l="1"/>
  <c r="D92" i="29"/>
  <c r="J93" i="29" l="1"/>
  <c r="J92" i="29"/>
  <c r="N92" i="29" l="1"/>
  <c r="N93" i="29"/>
  <c r="L92" i="29"/>
  <c r="L93" i="29"/>
  <c r="U25" i="22" l="1"/>
  <c r="M25" i="22"/>
  <c r="I25" i="22" l="1"/>
  <c r="J20" i="23"/>
  <c r="Q25" i="22"/>
  <c r="N20" i="23"/>
  <c r="O93" i="29" l="1"/>
  <c r="O92" i="29"/>
  <c r="U31" i="22" l="1"/>
  <c r="M31" i="22"/>
  <c r="I31" i="22" l="1"/>
  <c r="J47" i="13" s="1"/>
  <c r="N47" i="13"/>
  <c r="Q31" i="22"/>
  <c r="R47" i="13" s="1"/>
  <c r="V47" i="13"/>
  <c r="M30" i="22" l="1"/>
  <c r="U30" i="22"/>
  <c r="Q30" i="22" l="1"/>
  <c r="R46" i="13" s="1"/>
  <c r="V46" i="13"/>
  <c r="I30" i="22"/>
  <c r="J46" i="13" s="1"/>
  <c r="N46" i="13"/>
  <c r="I16" i="22" l="1"/>
  <c r="K13" i="14" l="1"/>
  <c r="M16" i="22"/>
  <c r="U16" i="22"/>
  <c r="O13" i="14" l="1"/>
  <c r="W13" i="14"/>
  <c r="I38" i="22"/>
  <c r="J24" i="13" l="1"/>
  <c r="M38" i="22"/>
  <c r="N24" i="13" s="1"/>
  <c r="J17" i="11" s="1"/>
  <c r="U38" i="22"/>
  <c r="V24" i="13" s="1"/>
  <c r="N17" i="11" s="1"/>
  <c r="M29" i="22" l="1"/>
  <c r="U29" i="22"/>
  <c r="U28" i="22" l="1"/>
  <c r="M28" i="22"/>
  <c r="V45" i="13"/>
  <c r="Q29" i="22"/>
  <c r="R45" i="13" s="1"/>
  <c r="N45" i="13"/>
  <c r="I29" i="22"/>
  <c r="J45" i="13" s="1"/>
  <c r="M33" i="22" l="1"/>
  <c r="U33" i="22"/>
  <c r="I28" i="22"/>
  <c r="J44" i="13" s="1"/>
  <c r="J48" i="13" s="1"/>
  <c r="N44" i="13"/>
  <c r="N48" i="13" s="1"/>
  <c r="V44" i="13"/>
  <c r="V48" i="13" s="1"/>
  <c r="Q28" i="22"/>
  <c r="R44" i="13" s="1"/>
  <c r="R48" i="13" s="1"/>
  <c r="J21" i="23" l="1"/>
  <c r="N17" i="13"/>
  <c r="Q33" i="22"/>
  <c r="N27" i="11"/>
  <c r="N21" i="23"/>
  <c r="N22" i="23" s="1"/>
  <c r="V17" i="13"/>
  <c r="P21" i="23"/>
  <c r="I33" i="22"/>
  <c r="J27" i="11"/>
  <c r="N32" i="11" l="1"/>
  <c r="M95" i="29" s="1"/>
  <c r="R17" i="13"/>
  <c r="J32" i="11"/>
  <c r="J17" i="13"/>
  <c r="L21" i="23"/>
  <c r="J22" i="23"/>
  <c r="M96" i="29" l="1"/>
  <c r="M97" i="29"/>
  <c r="I37" i="22" l="1"/>
  <c r="M37" i="22" l="1"/>
  <c r="N23" i="13" s="1"/>
  <c r="J16" i="11" s="1"/>
  <c r="J23" i="13"/>
  <c r="U37" i="22"/>
  <c r="V23" i="13" s="1"/>
  <c r="N16" i="11" s="1"/>
  <c r="I95" i="29" s="1"/>
  <c r="I97" i="29" l="1"/>
  <c r="I96" i="29"/>
  <c r="I17" i="22" l="1"/>
  <c r="U17" i="22" l="1"/>
  <c r="K14" i="14"/>
  <c r="M17" i="22"/>
  <c r="O14" i="14" l="1"/>
  <c r="O15" i="14" s="1"/>
  <c r="W14" i="14"/>
  <c r="W15" i="14" s="1"/>
  <c r="K15" i="14"/>
  <c r="M44" i="22" l="1"/>
  <c r="N30" i="23" l="1"/>
  <c r="J30" i="23"/>
  <c r="P30" i="23"/>
  <c r="L30" i="23"/>
  <c r="K18" i="15"/>
  <c r="I20" i="22" l="1"/>
  <c r="U20" i="22" l="1"/>
  <c r="K25" i="14"/>
  <c r="M20" i="22"/>
  <c r="W25" i="14" l="1"/>
  <c r="O25" i="14"/>
  <c r="I40" i="22" l="1"/>
  <c r="J26" i="13" l="1"/>
  <c r="U40" i="22"/>
  <c r="V26" i="13" s="1"/>
  <c r="N20" i="11" s="1"/>
  <c r="M40" i="22"/>
  <c r="N26" i="13" s="1"/>
  <c r="J20" i="11" s="1"/>
  <c r="I19" i="22" l="1"/>
  <c r="K24" i="14" l="1"/>
  <c r="U19" i="22"/>
  <c r="M19" i="22"/>
  <c r="I36" i="22"/>
  <c r="M36" i="22" l="1"/>
  <c r="N22" i="13" s="1"/>
  <c r="J22" i="13"/>
  <c r="J27" i="13" s="1"/>
  <c r="U36" i="22"/>
  <c r="V22" i="13" s="1"/>
  <c r="W24" i="14"/>
  <c r="W26" i="14" s="1"/>
  <c r="K26" i="14"/>
  <c r="O24" i="14"/>
  <c r="O26" i="14" s="1"/>
  <c r="O30" i="14" s="1"/>
  <c r="G95" i="29" l="1"/>
  <c r="W30" i="14"/>
  <c r="N15" i="11"/>
  <c r="V27" i="13"/>
  <c r="K30" i="14"/>
  <c r="K17" i="14" s="1"/>
  <c r="K18" i="14" s="1"/>
  <c r="O17" i="14"/>
  <c r="O18" i="14" s="1"/>
  <c r="J15" i="11"/>
  <c r="N27" i="13"/>
  <c r="J24" i="23" l="1"/>
  <c r="L24" i="23"/>
  <c r="P24" i="23"/>
  <c r="N24" i="23"/>
  <c r="K95" i="29"/>
  <c r="L38" i="23"/>
  <c r="J42" i="12"/>
  <c r="J38" i="23"/>
  <c r="H95" i="29"/>
  <c r="S30" i="14"/>
  <c r="S17" i="14" s="1"/>
  <c r="S18" i="14" s="1"/>
  <c r="W17" i="14"/>
  <c r="W18" i="14" s="1"/>
  <c r="G96" i="29"/>
  <c r="G97" i="29"/>
  <c r="H96" i="29" l="1"/>
  <c r="H97" i="29"/>
  <c r="K96" i="29"/>
  <c r="K97" i="29"/>
  <c r="F95" i="29"/>
  <c r="N38" i="23"/>
  <c r="P38" i="23"/>
  <c r="J58" i="12"/>
  <c r="J34" i="12"/>
  <c r="P34" i="12" s="1"/>
  <c r="J38" i="12"/>
  <c r="J33" i="12"/>
  <c r="J39" i="12"/>
  <c r="P39" i="12" s="1"/>
  <c r="F96" i="29" l="1"/>
  <c r="F97" i="29"/>
  <c r="J50" i="12"/>
  <c r="P50" i="12" s="1"/>
  <c r="J55" i="12"/>
  <c r="P55" i="12" s="1"/>
  <c r="J49" i="12"/>
  <c r="J54" i="12"/>
  <c r="J35" i="12"/>
  <c r="P33" i="12"/>
  <c r="P35" i="12" s="1"/>
  <c r="P38" i="12"/>
  <c r="J40" i="12"/>
  <c r="J40" i="23" s="1"/>
  <c r="N30" i="13" l="1"/>
  <c r="L40" i="23"/>
  <c r="P54" i="12"/>
  <c r="J56" i="12"/>
  <c r="N40" i="23" s="1"/>
  <c r="P40" i="12"/>
  <c r="L50" i="23" s="1"/>
  <c r="K16" i="15"/>
  <c r="K20" i="15" s="1"/>
  <c r="P49" i="12"/>
  <c r="P51" i="12" s="1"/>
  <c r="J51" i="12"/>
  <c r="J23" i="11" l="1"/>
  <c r="J50" i="23"/>
  <c r="P40" i="23"/>
  <c r="P42" i="12"/>
  <c r="V30" i="13"/>
  <c r="O16" i="15"/>
  <c r="O20" i="15" s="1"/>
  <c r="P56" i="12"/>
  <c r="P50" i="23" s="1"/>
  <c r="L25" i="23"/>
  <c r="N32" i="13"/>
  <c r="J25" i="23"/>
  <c r="J26" i="23" s="1"/>
  <c r="J28" i="23" s="1"/>
  <c r="J31" i="23" s="1"/>
  <c r="J30" i="13"/>
  <c r="J32" i="13" s="1"/>
  <c r="J22" i="11" l="1"/>
  <c r="L26" i="23"/>
  <c r="R30" i="13"/>
  <c r="R32" i="13" s="1"/>
  <c r="N25" i="23"/>
  <c r="N26" i="23" s="1"/>
  <c r="N28" i="23" s="1"/>
  <c r="N31" i="23" s="1"/>
  <c r="P25" i="23"/>
  <c r="V32" i="13"/>
  <c r="N23" i="11"/>
  <c r="N50" i="23"/>
  <c r="P58" i="12"/>
  <c r="D95" i="29" s="1"/>
  <c r="M50" i="22"/>
  <c r="K40" i="15" s="1"/>
  <c r="D96" i="29" l="1"/>
  <c r="D97" i="29"/>
  <c r="K41" i="15"/>
  <c r="O40" i="15"/>
  <c r="N22" i="11"/>
  <c r="P26" i="23"/>
  <c r="M46" i="22"/>
  <c r="O41" i="15" l="1"/>
  <c r="J33" i="23"/>
  <c r="J34" i="23" s="1"/>
  <c r="J36" i="23" s="1"/>
  <c r="L33" i="23"/>
  <c r="M47" i="22"/>
  <c r="K24" i="15"/>
  <c r="O24" i="15" l="1"/>
  <c r="K26" i="15"/>
  <c r="K29" i="15"/>
  <c r="J46" i="23"/>
  <c r="J48" i="23" s="1"/>
  <c r="J42" i="23"/>
  <c r="J44" i="23" s="1"/>
  <c r="J51" i="23"/>
  <c r="J52" i="23" s="1"/>
  <c r="L19" i="23" s="1"/>
  <c r="N33" i="23"/>
  <c r="N34" i="23" s="1"/>
  <c r="N36" i="23" s="1"/>
  <c r="P33" i="23"/>
  <c r="K33" i="15" l="1"/>
  <c r="J19" i="11" s="1"/>
  <c r="J25" i="11" s="1"/>
  <c r="J28" i="11" s="1"/>
  <c r="K31" i="15"/>
  <c r="N35" i="13" s="1"/>
  <c r="J35" i="13" s="1"/>
  <c r="N46" i="23"/>
  <c r="N48" i="23" s="1"/>
  <c r="N42" i="23"/>
  <c r="N44" i="23" s="1"/>
  <c r="N51" i="23"/>
  <c r="N52" i="23" s="1"/>
  <c r="O26" i="15"/>
  <c r="O29" i="15"/>
  <c r="O31" i="15" l="1"/>
  <c r="V35" i="13" s="1"/>
  <c r="R35" i="13" s="1"/>
  <c r="O33" i="15"/>
  <c r="N19" i="11" s="1"/>
  <c r="O95" i="29"/>
  <c r="P19" i="23"/>
  <c r="O96" i="29" l="1"/>
  <c r="O97" i="29"/>
  <c r="J95" i="29"/>
  <c r="N25" i="11"/>
  <c r="U26" i="22"/>
  <c r="M26" i="22"/>
  <c r="F14" i="28"/>
  <c r="J97" i="29" l="1"/>
  <c r="J96" i="29"/>
  <c r="N16" i="13"/>
  <c r="I26" i="22"/>
  <c r="L20" i="23"/>
  <c r="L22" i="23" s="1"/>
  <c r="L28" i="23" s="1"/>
  <c r="L31" i="23" s="1"/>
  <c r="L34" i="23" s="1"/>
  <c r="V16" i="13"/>
  <c r="Q26" i="22"/>
  <c r="L95" i="29"/>
  <c r="N28" i="11"/>
  <c r="N95" i="29" s="1"/>
  <c r="P20" i="23"/>
  <c r="P22" i="23" s="1"/>
  <c r="P28" i="23" s="1"/>
  <c r="P31" i="23" s="1"/>
  <c r="P34" i="23" s="1"/>
  <c r="L96" i="29" l="1"/>
  <c r="L97" i="29"/>
  <c r="N18" i="13"/>
  <c r="N34" i="13" s="1"/>
  <c r="N37" i="13" s="1"/>
  <c r="L36" i="23" s="1"/>
  <c r="J16" i="13"/>
  <c r="J18" i="13" s="1"/>
  <c r="J34" i="13" s="1"/>
  <c r="J37" i="13" s="1"/>
  <c r="J31" i="11"/>
  <c r="J33" i="11" s="1"/>
  <c r="J35" i="11" s="1"/>
  <c r="R16" i="13"/>
  <c r="R18" i="13" s="1"/>
  <c r="R34" i="13" s="1"/>
  <c r="R37" i="13" s="1"/>
  <c r="N31" i="11"/>
  <c r="V18" i="13"/>
  <c r="V34" i="13" s="1"/>
  <c r="V37" i="13" s="1"/>
  <c r="P36" i="23" s="1"/>
  <c r="N96" i="29"/>
  <c r="N97" i="29"/>
  <c r="P42" i="23" l="1"/>
  <c r="P44" i="23" s="1"/>
  <c r="P46" i="23"/>
  <c r="P48" i="23" s="1"/>
  <c r="P51" i="23" s="1"/>
  <c r="N33" i="11"/>
  <c r="N35" i="11" s="1"/>
  <c r="L42" i="23"/>
  <c r="L44" i="23" s="1"/>
  <c r="L46" i="23"/>
  <c r="L48" i="23" s="1"/>
  <c r="L51" i="23" s="1"/>
</calcChain>
</file>

<file path=xl/sharedStrings.xml><?xml version="1.0" encoding="utf-8"?>
<sst xmlns="http://schemas.openxmlformats.org/spreadsheetml/2006/main" count="580" uniqueCount="354">
  <si>
    <t>Working Capital Allowance</t>
  </si>
  <si>
    <t>Total Rate Base</t>
  </si>
  <si>
    <t>(1)</t>
  </si>
  <si>
    <t>(2)</t>
  </si>
  <si>
    <t>Application</t>
  </si>
  <si>
    <t>Cost of Power</t>
  </si>
  <si>
    <t>Taxes/PILs</t>
  </si>
  <si>
    <t>Rate Base</t>
  </si>
  <si>
    <t>($)</t>
  </si>
  <si>
    <t>Controllable Expenses</t>
  </si>
  <si>
    <t>Working Capital Base</t>
  </si>
  <si>
    <t>Debt</t>
  </si>
  <si>
    <t xml:space="preserve">  Long-term Debt</t>
  </si>
  <si>
    <t xml:space="preserve">  Short-term Debt</t>
  </si>
  <si>
    <t>Total Debt</t>
  </si>
  <si>
    <t>Equity</t>
  </si>
  <si>
    <t xml:space="preserve">  Common Equity</t>
  </si>
  <si>
    <t xml:space="preserve">  Preferred Shares</t>
  </si>
  <si>
    <t>Total Equity</t>
  </si>
  <si>
    <t>Total</t>
  </si>
  <si>
    <t>(%)</t>
  </si>
  <si>
    <t>Cost Rate</t>
  </si>
  <si>
    <t>Return</t>
  </si>
  <si>
    <t xml:space="preserve">Application   </t>
  </si>
  <si>
    <t>Operating Revenues:</t>
  </si>
  <si>
    <t>Operating Expenses:</t>
  </si>
  <si>
    <t>Depreciation/Amortization</t>
  </si>
  <si>
    <t>Income taxes</t>
  </si>
  <si>
    <t>Determination of Taxable Income</t>
  </si>
  <si>
    <t>Adjustments required to arrive at taxable utility income</t>
  </si>
  <si>
    <t>Taxable income</t>
  </si>
  <si>
    <t>Calculation of Utility income Taxes</t>
  </si>
  <si>
    <t>Total taxes</t>
  </si>
  <si>
    <t>Tax Rates</t>
  </si>
  <si>
    <t>Amortization/Depreciation</t>
  </si>
  <si>
    <t>Other revenue</t>
  </si>
  <si>
    <t>Particulars</t>
  </si>
  <si>
    <t>Line No.</t>
  </si>
  <si>
    <t>Notes</t>
  </si>
  <si>
    <t>OM+A Expenses</t>
  </si>
  <si>
    <t>Total revenue</t>
  </si>
  <si>
    <r>
      <t>Particulars</t>
    </r>
    <r>
      <rPr>
        <sz val="10"/>
        <rFont val="Arial"/>
        <family val="2"/>
      </rPr>
      <t xml:space="preserve">                                </t>
    </r>
  </si>
  <si>
    <t>Notes:</t>
  </si>
  <si>
    <t>Capital taxes</t>
  </si>
  <si>
    <t>Property taxes</t>
  </si>
  <si>
    <t>Property Taxes</t>
  </si>
  <si>
    <t>Capitalization Ratio</t>
  </si>
  <si>
    <t>Utility Income</t>
  </si>
  <si>
    <t>Utility Rate Base</t>
  </si>
  <si>
    <t>Indicated Rate of Return</t>
  </si>
  <si>
    <t>Capitalization/Cost of Capital</t>
  </si>
  <si>
    <t>Pale green cells represent inputs</t>
  </si>
  <si>
    <t>Distribution revenue</t>
  </si>
  <si>
    <t xml:space="preserve">  Specific Service Charges</t>
  </si>
  <si>
    <t xml:space="preserve">  Late Payment Charges</t>
  </si>
  <si>
    <t xml:space="preserve">  Other Distribution Revenue</t>
  </si>
  <si>
    <t xml:space="preserve">  Other Income and Deductions</t>
  </si>
  <si>
    <t>Total Revenue Offsets</t>
  </si>
  <si>
    <t>Allowance for Working Capital</t>
  </si>
  <si>
    <t xml:space="preserve">Particulars </t>
  </si>
  <si>
    <t xml:space="preserve">   </t>
  </si>
  <si>
    <t xml:space="preserve">   Controllable Expenses</t>
  </si>
  <si>
    <t xml:space="preserve">   Cost of Power</t>
  </si>
  <si>
    <t xml:space="preserve">   Working Capital Rate (%)</t>
  </si>
  <si>
    <t>Other Revenue</t>
  </si>
  <si>
    <t xml:space="preserve">   OM+A Expenses</t>
  </si>
  <si>
    <t xml:space="preserve">   Property taxes</t>
  </si>
  <si>
    <t xml:space="preserve">   Capital taxes</t>
  </si>
  <si>
    <t xml:space="preserve">      Specific Service Charges</t>
  </si>
  <si>
    <t xml:space="preserve">      Late Payment Charges</t>
  </si>
  <si>
    <t xml:space="preserve">      Other Distribution Revenue</t>
  </si>
  <si>
    <t xml:space="preserve">      Other Income and Deductions</t>
  </si>
  <si>
    <t>Taxable Income:</t>
  </si>
  <si>
    <t>Utility Income Taxes and Rates:</t>
  </si>
  <si>
    <t xml:space="preserve">   Long-term debt Capitalization Ratio (%)</t>
  </si>
  <si>
    <t xml:space="preserve">   Short-term debt Capitalization Ratio (%)</t>
  </si>
  <si>
    <t xml:space="preserve">   Common Equity Capitalization Ratio (%)</t>
  </si>
  <si>
    <t xml:space="preserve">   Prefered Shares Capitalization Ratio (%)</t>
  </si>
  <si>
    <t xml:space="preserve">   Long-term debt Cost Rate (%)</t>
  </si>
  <si>
    <t xml:space="preserve">   Short-term debt Cost Rate (%)</t>
  </si>
  <si>
    <t xml:space="preserve">   Common Equity Cost Rate (%)</t>
  </si>
  <si>
    <t xml:space="preserve">   Prefered Shares Cost Rate (%)</t>
  </si>
  <si>
    <t xml:space="preserve">Working Capital Rate % </t>
  </si>
  <si>
    <t xml:space="preserve">   Federal tax (%)</t>
  </si>
  <si>
    <t xml:space="preserve">   Provincial tax (%)</t>
  </si>
  <si>
    <t>Allowance for Working Capital:</t>
  </si>
  <si>
    <t xml:space="preserve">   Other Revenue:</t>
  </si>
  <si>
    <t xml:space="preserve">   Capital Taxes</t>
  </si>
  <si>
    <t>Capital Structure:</t>
  </si>
  <si>
    <t>Cost of Capital</t>
  </si>
  <si>
    <t>All inputs are in dollars ($) except where inputs are individually identified as percentages (%)</t>
  </si>
  <si>
    <t>Income Taxes (Grossed up)</t>
  </si>
  <si>
    <t>4.0% unless an Applicant has proposed or been approved for another amount.</t>
  </si>
  <si>
    <t xml:space="preserve">   Other expenses</t>
  </si>
  <si>
    <t>Other expense</t>
  </si>
  <si>
    <t>Deemed Interest Expense</t>
  </si>
  <si>
    <t>Gross-up of Income Taxes</t>
  </si>
  <si>
    <t>Utility income before income taxes</t>
  </si>
  <si>
    <t>(3)</t>
  </si>
  <si>
    <t>Net of addbacks and deductions to arrive at taxable income.</t>
  </si>
  <si>
    <t xml:space="preserve">   Gross Fixed Assets (average)</t>
  </si>
  <si>
    <t xml:space="preserve">   Accumulated Depreciation (average)</t>
  </si>
  <si>
    <t>Gross Fixed Assets (average)</t>
  </si>
  <si>
    <t>Accumulated Depreciation (average)</t>
  </si>
  <si>
    <t>Net Fixed Assets (average)</t>
  </si>
  <si>
    <t>Utility net income</t>
  </si>
  <si>
    <t>Grossed-up Income Taxes</t>
  </si>
  <si>
    <t>PILs / tax Allowance (Grossed-up Income taxes + Capital taxes)</t>
  </si>
  <si>
    <t>Income taxes (grossed-up)</t>
  </si>
  <si>
    <t xml:space="preserve">   Distribution Revenue at Proposed Rates</t>
  </si>
  <si>
    <t>Total Revenue</t>
  </si>
  <si>
    <t>Utility Income Before Income Taxes</t>
  </si>
  <si>
    <t xml:space="preserve">Utility Net Income </t>
  </si>
  <si>
    <t xml:space="preserve">   Distribution Revenue at Current Rates</t>
  </si>
  <si>
    <t>Total Operating Revenues</t>
  </si>
  <si>
    <t>Taxable Income</t>
  </si>
  <si>
    <t>Income Tax Credits</t>
  </si>
  <si>
    <t>Operating Expenses</t>
  </si>
  <si>
    <t>Total Cost and Expenses</t>
  </si>
  <si>
    <t>Target Return - Equity on Rate Base</t>
  </si>
  <si>
    <t>Requested Rate of Return on Rate Base</t>
  </si>
  <si>
    <t xml:space="preserve"> </t>
  </si>
  <si>
    <t>(4)</t>
  </si>
  <si>
    <t>(5)</t>
  </si>
  <si>
    <t>Average of Gross Fixed Assets at beginning and end of the Test Year</t>
  </si>
  <si>
    <t xml:space="preserve">   Income taxes (not grossed up)</t>
  </si>
  <si>
    <t xml:space="preserve">   Income taxes (grossed up)</t>
  </si>
  <si>
    <t>At Current Approved Rates</t>
  </si>
  <si>
    <t>At Proposed Rates</t>
  </si>
  <si>
    <t>Distribution Revenue (at Proposed Rates)</t>
  </si>
  <si>
    <t>Target Return on Equity</t>
  </si>
  <si>
    <t>Other tax Credits</t>
  </si>
  <si>
    <t xml:space="preserve">Deemed Equity Portion of Rate Base </t>
  </si>
  <si>
    <t>Average of opening and closing balances for the year.</t>
  </si>
  <si>
    <t>Other Expenses</t>
  </si>
  <si>
    <t>Average of Accumulated Depreciation at the beginning and end of the Test Year.  Enter as a negative amount.</t>
  </si>
  <si>
    <t>Federal tax (%)</t>
  </si>
  <si>
    <t>Provincial tax (%)</t>
  </si>
  <si>
    <t>Total tax rate (%)</t>
  </si>
  <si>
    <t>Capital Taxes</t>
  </si>
  <si>
    <t>OM&amp;A Expenses</t>
  </si>
  <si>
    <t>Please note that this model uses MACROS.  Before starting, please ensure that macros have been enabled.</t>
  </si>
  <si>
    <t>Line 11 - Line 8</t>
  </si>
  <si>
    <t xml:space="preserve">   Depreciation/Amortization</t>
  </si>
  <si>
    <t>Difference (Total Revenue Less Distribution Revenue Requirement before Revenues)</t>
  </si>
  <si>
    <t>Utility net income before taxes</t>
  </si>
  <si>
    <t>Adjustments required to arrive at taxable income</t>
  </si>
  <si>
    <t>(6)</t>
  </si>
  <si>
    <t>Capital Taxes not applicable after July 1, 2010 (i.e. for 2011 and later test years)</t>
  </si>
  <si>
    <t>Revenue Deficiency from Below</t>
  </si>
  <si>
    <t>Distribution Revenue</t>
  </si>
  <si>
    <t>Other Operating Revenue Offsets - net</t>
  </si>
  <si>
    <t>Income Tax Rate</t>
  </si>
  <si>
    <t>Income Tax on Taxable Income</t>
  </si>
  <si>
    <t>Per Board Decision</t>
  </si>
  <si>
    <t>Initial Application</t>
  </si>
  <si>
    <t xml:space="preserve">Initial Application   </t>
  </si>
  <si>
    <t>Subtotal (lines 4 to 8)</t>
  </si>
  <si>
    <t>Total Expenses (lines 9 to 10)</t>
  </si>
  <si>
    <t>Completed versions of the Revenue Requirement Work Form are required to be filed in working Microsoft Excel format.</t>
  </si>
  <si>
    <r>
      <t>Gross Revenue Deficiency/</t>
    </r>
    <r>
      <rPr>
        <b/>
        <sz val="10"/>
        <color indexed="10"/>
        <rFont val="Arial"/>
        <family val="2"/>
      </rPr>
      <t>(Sufficiency)</t>
    </r>
  </si>
  <si>
    <r>
      <t>Revenue Deficiency/</t>
    </r>
    <r>
      <rPr>
        <sz val="10"/>
        <color indexed="10"/>
        <rFont val="Arial"/>
        <family val="2"/>
      </rPr>
      <t>(Sufficiency)</t>
    </r>
  </si>
  <si>
    <t>Algoma Power Inc.</t>
  </si>
  <si>
    <t>Atikokan Hydro Inc.</t>
  </si>
  <si>
    <t>Brantford Power Inc.</t>
  </si>
  <si>
    <t>Burlington Hydro Inc.</t>
  </si>
  <si>
    <t>Centre Wellington Hydro Ltd.</t>
  </si>
  <si>
    <t>Chapleau Public Utilities Corporation</t>
  </si>
  <si>
    <t>Cooperative Hydro Embrun Inc.</t>
  </si>
  <si>
    <t>E.L.K. Energy Inc.</t>
  </si>
  <si>
    <t>Enersource Hydro Mississauga Inc.</t>
  </si>
  <si>
    <t>ENWIN Utilities Ltd.</t>
  </si>
  <si>
    <t>Espanola Regional Hydro Distribution Corporation</t>
  </si>
  <si>
    <t>Essex Powerlines Corporation</t>
  </si>
  <si>
    <t>Festival Hydro Inc.</t>
  </si>
  <si>
    <t>Fort Frances Power Corporation</t>
  </si>
  <si>
    <t>Guelph Hydro Electric Systems Inc.</t>
  </si>
  <si>
    <t>Haldimand County Hydro Inc.</t>
  </si>
  <si>
    <t>Halton Hills Hydro Inc.</t>
  </si>
  <si>
    <t>Horizon Utilities Corporation</t>
  </si>
  <si>
    <t>Hydro 2000 Inc.</t>
  </si>
  <si>
    <t>Hydro Hawkesbury Inc.</t>
  </si>
  <si>
    <t>Hydro One Brampton Networks Inc.</t>
  </si>
  <si>
    <t>Kenora Hydro Electric Corporation Ltd.</t>
  </si>
  <si>
    <t>Kingston Hydro Corporation</t>
  </si>
  <si>
    <t>Kitchener-Wilmot Hydro Inc.</t>
  </si>
  <si>
    <t>Lakefront Utilities Inc.</t>
  </si>
  <si>
    <t>London Hydro Inc.</t>
  </si>
  <si>
    <t>Midland Power Utility Corporation</t>
  </si>
  <si>
    <t>Niagara-on-the-Lake Hydro Inc.</t>
  </si>
  <si>
    <t>North Bay Hydro Distribution Limited</t>
  </si>
  <si>
    <t>Northern Ontario Wires Inc.</t>
  </si>
  <si>
    <t>Orangeville Hydro Limited</t>
  </si>
  <si>
    <t>Oshawa PUC Networks Inc.</t>
  </si>
  <si>
    <t>Ottawa River Power Corporation</t>
  </si>
  <si>
    <t>Parry Sound Power Corporation</t>
  </si>
  <si>
    <t>PowerStream Inc. - Barrie</t>
  </si>
  <si>
    <t>PowerStream Inc. - South</t>
  </si>
  <si>
    <t>PUC Distribution Inc.</t>
  </si>
  <si>
    <t>Renfrew Hydro Inc.</t>
  </si>
  <si>
    <t>Rideau St. Lawrence Distribution Inc.</t>
  </si>
  <si>
    <t>Sioux Lookout Hydro Inc.</t>
  </si>
  <si>
    <t>St. Thomas Energy Inc.</t>
  </si>
  <si>
    <t>Thunder Bay Hydro Electricity Distribution Inc.</t>
  </si>
  <si>
    <t>Tillsonburg Hydro Inc.</t>
  </si>
  <si>
    <t>Veridian Connections Inc.</t>
  </si>
  <si>
    <t>Wasaga Distribution Inc.</t>
  </si>
  <si>
    <t>Waterloo North Hydro Inc.</t>
  </si>
  <si>
    <t>Welland Hydro-Electric System Corp.</t>
  </si>
  <si>
    <t>Wellington North Power Inc.</t>
  </si>
  <si>
    <t>West Coast Huron Energy Inc.</t>
  </si>
  <si>
    <t>Westario Power Inc.</t>
  </si>
  <si>
    <t>Whitby Hydro Electric Corporation</t>
  </si>
  <si>
    <t>Woodstock Hydro Services Inc.</t>
  </si>
  <si>
    <t>Fort Albany Power Corporation</t>
  </si>
  <si>
    <t>Greater Sudbury Hydro Inc.</t>
  </si>
  <si>
    <t>Grimsby Power Inc.</t>
  </si>
  <si>
    <t>Hydro Ottawa Limited</t>
  </si>
  <si>
    <t>Kashechewan Power Corporation</t>
  </si>
  <si>
    <t>Lakeland Power Distribution Ltd.</t>
  </si>
  <si>
    <t>Toronto Hydro-Electric System Limited</t>
  </si>
  <si>
    <t>Company Name</t>
  </si>
  <si>
    <t>1. Info</t>
  </si>
  <si>
    <t>3. Data_Input_Sheet</t>
  </si>
  <si>
    <t>4. Rate_Base</t>
  </si>
  <si>
    <t>5. Utility Income</t>
  </si>
  <si>
    <t>6. Taxes_PILs</t>
  </si>
  <si>
    <t>7. Cost_of_Capital</t>
  </si>
  <si>
    <t>9. Rev_Reqt</t>
  </si>
  <si>
    <t>Select option from drop-down list by clicking on cell M10.  This column allows for the application update reflecting the end of discovery or Argument-in-Chief.  Also, the outcome of any Settlement Process can be reflected.</t>
  </si>
  <si>
    <t>Deficiency/Sufficiency in Return on Equity</t>
  </si>
  <si>
    <t>Deficiency/Sufficiency in Rate of Return</t>
  </si>
  <si>
    <t>Pale yellow cells represent drop-down lists</t>
  </si>
  <si>
    <t>Pale green boxes at the bottom of each page are for additional notes</t>
  </si>
  <si>
    <t>Revenue Deficiency/Sufficiency divided by (1 - Tax Rate)</t>
  </si>
  <si>
    <t>Income/(Equity Portion of Rate Base)</t>
  </si>
  <si>
    <t>8. Rev_Def_Suff</t>
  </si>
  <si>
    <t>2. Table of Contents</t>
  </si>
  <si>
    <t>(7)</t>
  </si>
  <si>
    <t>Input total revenue offsets for deriving the base revenue requirement from the service revenue requirement</t>
  </si>
  <si>
    <t>Service Revenue Requirement (before Revenues)</t>
  </si>
  <si>
    <t>Revenue Offsets</t>
  </si>
  <si>
    <t>Base Revenue Requirement</t>
  </si>
  <si>
    <t>General</t>
  </si>
  <si>
    <t>(8)</t>
  </si>
  <si>
    <t>Data in column E is for Application as originally filed.  For updated revenue requirement as a result of interrogatory responses, technical or settlement conferences, etc., use colimn M and Adjustments in column I</t>
  </si>
  <si>
    <t>(9)</t>
  </si>
  <si>
    <t>Starting with 2013, default Working Capital Allowance factor is 13% (of Cost of Power plus controllable expenses).  Alternatively, WCA factor based on lead-lag study or approved WCA factor for another distributor, with supporting rationale.</t>
  </si>
  <si>
    <t>Data inputs are required on Sheets 3. Data from Sheet 3 will automatically complete calculations on sheets 4 through 9 (Rate Base through Revenue Requirement).  Sheets 4 through 9 do not require any inputs except for notes that the Applicant may wish to enter to support the results.  Pale green cells are available on sheets 4 through 9 to enter both footnotes beside key cells and the related text for the notes at the bottom of each sheet.</t>
  </si>
  <si>
    <t>(excluding Tranformer Owership Allowance credit adjustment)</t>
  </si>
  <si>
    <t>Revenue Requirement</t>
  </si>
  <si>
    <t>Revenue Deficiency/Sufficiency</t>
  </si>
  <si>
    <t>Rate Base and Working Capital</t>
  </si>
  <si>
    <t>Version</t>
  </si>
  <si>
    <t xml:space="preserve">Utility Name   </t>
  </si>
  <si>
    <t>Service Territory</t>
  </si>
  <si>
    <t>Assigned EB Number</t>
  </si>
  <si>
    <t>Name and Title</t>
  </si>
  <si>
    <t xml:space="preserve">Phone Number   </t>
  </si>
  <si>
    <t xml:space="preserve">Email Address   </t>
  </si>
  <si>
    <t>Attawapiskat Power Corporation</t>
  </si>
  <si>
    <t>Bluewater Power Distribution Corp.</t>
  </si>
  <si>
    <t>Brant County Power</t>
  </si>
  <si>
    <t>Cambridge and North Dumfries Hydro</t>
  </si>
  <si>
    <t>Canadian Niagara Power Inc. – Eastern Ontario Power/Fort Erie/Port Colborne</t>
  </si>
  <si>
    <t>COLLUS Power Corp.</t>
  </si>
  <si>
    <t>Entegrus Powerlines Inc.</t>
  </si>
  <si>
    <t>Erie Thames Powerlines Corp.</t>
  </si>
  <si>
    <t>Hearst Power Distribution Co. Ltd.</t>
  </si>
  <si>
    <t>Hydro One Networks Inc.</t>
  </si>
  <si>
    <t>Hydro One Remote Communities Inc.</t>
  </si>
  <si>
    <t>Innisfil Hydro Dist. Systems Limited</t>
  </si>
  <si>
    <t>Milton Hydro Distribution Inc.</t>
  </si>
  <si>
    <t>Newmarket – Tay Power Distribution Ltd.</t>
  </si>
  <si>
    <t>Niagara Peninsula Energy Inc.</t>
  </si>
  <si>
    <t>Norfolk Power Distribution Ltd.</t>
  </si>
  <si>
    <t>Oakville Hydro Distribution Inc.</t>
  </si>
  <si>
    <t>Orillia Power Distribution Corp.</t>
  </si>
  <si>
    <t>Peterborough Distribution Inc.</t>
  </si>
  <si>
    <t>Allowance for Working Capital - Derivation</t>
  </si>
  <si>
    <r>
      <t xml:space="preserve">Data Input </t>
    </r>
    <r>
      <rPr>
        <b/>
        <vertAlign val="superscript"/>
        <sz val="14"/>
        <rFont val="Arial"/>
        <family val="2"/>
      </rPr>
      <t>(1)</t>
    </r>
  </si>
  <si>
    <t>Return on Deemed Equity</t>
  </si>
  <si>
    <t>Tax Adjustments to Accounting               Income per 2013 PILs model</t>
  </si>
  <si>
    <r>
      <t xml:space="preserve">Some Applicants may have a unique rate as a result of a lead-lag study.  </t>
    </r>
    <r>
      <rPr>
        <sz val="10"/>
        <color rgb="FFFF0000"/>
        <rFont val="Arial"/>
        <family val="2"/>
      </rPr>
      <t>The default rate for 2014 cost of service applications is 13%.</t>
    </r>
  </si>
  <si>
    <t>David Savage, Corporate Controller</t>
  </si>
  <si>
    <t>905-743 5219</t>
  </si>
  <si>
    <t>dsavage@opuc.on.ca</t>
  </si>
  <si>
    <t>Oshawa</t>
  </si>
  <si>
    <t>Deficiency</t>
  </si>
  <si>
    <t>LINKED DIRECTLY TO "Data for OEB RRWF' TAB in MASTER WORKING FILE - NO ACTION REQUIRED</t>
  </si>
  <si>
    <t>EB-2014-0101</t>
  </si>
  <si>
    <t>Tracking Form</t>
  </si>
  <si>
    <r>
      <t xml:space="preserve">The last row shown is the most current estimate of the cost of service data reflecting the original application and any updates provided by the applicant distributor (for updated evidence, responses to interrogatories, undertakings, etc.)
Please ensure a Reference (Column B) and/or Item Description (Column C) is entered.  Please note that unused rows will automatically be hidden and the PRINT AREA set when the PRINT BUTTON on Sheet 1 is activated.
</t>
    </r>
    <r>
      <rPr>
        <b/>
        <vertAlign val="superscript"/>
        <sz val="10"/>
        <rFont val="Arial"/>
        <family val="2"/>
      </rPr>
      <t xml:space="preserve">(1) </t>
    </r>
    <r>
      <rPr>
        <b/>
        <sz val="10"/>
        <rFont val="Arial"/>
        <family val="2"/>
      </rPr>
      <t xml:space="preserve">Short reference to evidence material (interrogatory response, undertaking, exhibit number, Board Decision, Code, Guideline, Report of the Board, etc.)
</t>
    </r>
    <r>
      <rPr>
        <b/>
        <vertAlign val="superscript"/>
        <sz val="10"/>
        <rFont val="Arial"/>
        <family val="2"/>
      </rPr>
      <t>(2)</t>
    </r>
    <r>
      <rPr>
        <b/>
        <sz val="10"/>
        <rFont val="Arial"/>
        <family val="2"/>
      </rPr>
      <t xml:space="preserve"> Short description of change, issue, etc.
</t>
    </r>
    <r>
      <rPr>
        <b/>
        <sz val="10"/>
        <color rgb="FFFF0000"/>
        <rFont val="Arial"/>
        <family val="2"/>
      </rPr>
      <t>60 Tracking Rows have been provided below.  If you require more, please contact Industry Relations @</t>
    </r>
    <r>
      <rPr>
        <b/>
        <sz val="10"/>
        <rFont val="Arial"/>
        <family val="2"/>
      </rPr>
      <t xml:space="preserve"> </t>
    </r>
    <r>
      <rPr>
        <b/>
        <sz val="10"/>
        <color rgb="FF0070C0"/>
        <rFont val="Arial"/>
        <family val="2"/>
      </rPr>
      <t xml:space="preserve">IndustryRelations@ontarioenergyboard.ca. </t>
    </r>
  </si>
  <si>
    <t>Rate Base and Capital Expenditures</t>
  </si>
  <si>
    <r>
      <t>Reference</t>
    </r>
    <r>
      <rPr>
        <b/>
        <vertAlign val="superscript"/>
        <sz val="10"/>
        <rFont val="Arial"/>
        <family val="2"/>
      </rPr>
      <t xml:space="preserve"> (1)</t>
    </r>
  </si>
  <si>
    <r>
      <t>Item / Description</t>
    </r>
    <r>
      <rPr>
        <b/>
        <vertAlign val="superscript"/>
        <sz val="10"/>
        <rFont val="Arial"/>
        <family val="2"/>
      </rPr>
      <t xml:space="preserve"> (2)</t>
    </r>
  </si>
  <si>
    <t>Regulated Return on Capital</t>
  </si>
  <si>
    <t>Regulated Rate of Return</t>
  </si>
  <si>
    <t>Working Capital</t>
  </si>
  <si>
    <t>Working Capital Allowance ($)</t>
  </si>
  <si>
    <t>Amortization / Depreciation</t>
  </si>
  <si>
    <t>OM&amp;A</t>
  </si>
  <si>
    <t>Service Revenue Requirement</t>
  </si>
  <si>
    <t>Other Revenues</t>
  </si>
  <si>
    <t>Grossed up Revenue Deficiency / Sufficiency</t>
  </si>
  <si>
    <t>Original Application</t>
  </si>
  <si>
    <t>2014 Actuals Updated</t>
  </si>
  <si>
    <t xml:space="preserve">          Change</t>
  </si>
  <si>
    <t>Page Break 1</t>
  </si>
  <si>
    <t>Page Break 2</t>
  </si>
  <si>
    <t>Page Break 3</t>
  </si>
  <si>
    <t>Page Break 4</t>
  </si>
  <si>
    <t>Summary of Proposed Changes 2018</t>
  </si>
  <si>
    <t>Tax Updates (CCA Class 10 to 50, Adjusted Tax Credits)</t>
  </si>
  <si>
    <t>Updated Post-Retirement Benefits Actuarial Valuation</t>
  </si>
  <si>
    <t>Updated Load Forecast</t>
  </si>
  <si>
    <t>Multiple Interrogatories</t>
  </si>
  <si>
    <t>4-Energy Probe-50 &amp; 54</t>
  </si>
  <si>
    <t>4.0-Staff-31</t>
  </si>
  <si>
    <t xml:space="preserve">3.0-Staff-25; 3.0-Energy Probe-33/34; 3.0-VECC-26/27/31;1.0-CCC-17; </t>
  </si>
  <si>
    <t>2.0-Staff-6 &amp; Multiple Others</t>
  </si>
  <si>
    <t>DSP/Capital Updates to capacity solutions (HONI TS contributions &amp; new MS9 substation) and changes to timing of In Service dates</t>
  </si>
  <si>
    <t>Adjustment for CDM Activities</t>
  </si>
  <si>
    <t>Close of Discovery</t>
  </si>
  <si>
    <t>Update June 2015</t>
  </si>
  <si>
    <t>Undertaking TC2.5</t>
  </si>
  <si>
    <t>Revised Working Capital Proposal (to 10.91% from 13.0%)</t>
  </si>
  <si>
    <t>Revised Load Forecast</t>
  </si>
  <si>
    <t>Move MS9 Land to WIP in 2015 ($158.7k), Added back to Land 2018</t>
  </si>
  <si>
    <t>Update Regulatory Expenses (higher rate application costs partially offset by lower forecast OEB assessment fees)</t>
  </si>
  <si>
    <t>Update Interest Rates for 2015 Loan ($15m loan drawn June 2015 at 2.71%)</t>
  </si>
  <si>
    <t>Taxes / PILs</t>
  </si>
  <si>
    <t>Numbers going into Oral Hearing 30 June 2015</t>
  </si>
  <si>
    <t>Correct 2015 weighted debt rate - to 4.11% from 4.24%</t>
  </si>
  <si>
    <t>Correct Other Revenue for 2016-2019</t>
  </si>
  <si>
    <t>Oral Hearing J2.12</t>
  </si>
  <si>
    <t>Oral Hearing J3.2</t>
  </si>
  <si>
    <t>Oral Hearing J1.1</t>
  </si>
  <si>
    <t xml:space="preserve">Reduce cost of power expense lead to 20.89 from 22.64 </t>
  </si>
  <si>
    <t>At end of Oral Hearing, filed 8 July 2015, Exhibit K4.1</t>
  </si>
  <si>
    <t>Board Decision</t>
  </si>
  <si>
    <t>Working Cap Allowance to 9.37%</t>
  </si>
  <si>
    <t xml:space="preserve">Update Cost of Capital with 2016 OEB parameters for 2016-2019 </t>
  </si>
  <si>
    <t>Reduce Capital Budget by $400k in 2015, 2016 &amp; 2017 to match new connection costs with 1.5% customer growth</t>
  </si>
  <si>
    <t xml:space="preserve">Move HONI Enfield TS contributions from capital in 2015 ($1.35m) and 2018 ($5.4m), adding back in 2018. </t>
  </si>
  <si>
    <t>Adjust Rate Base for Depreciation Expense Deferral Account</t>
  </si>
  <si>
    <t>Mid-Term Update June 2017</t>
  </si>
  <si>
    <t>Update for 2017 cost of capital parameters</t>
  </si>
  <si>
    <t>Update new customer connections (load forecast)</t>
  </si>
  <si>
    <t xml:space="preserve">          Cumulative Change</t>
  </si>
  <si>
    <t>Update Cost of Power</t>
  </si>
  <si>
    <t>Update 2018/2019 Capital Forecasts</t>
  </si>
  <si>
    <t/>
  </si>
  <si>
    <t>Board Interim Approval Nov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</si>
</sst>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6" formatCode="&quot;$&quot;#,##0;[Red]\-&quot;$&quot;#,##0"/>
    <numFmt numFmtId="44" formatCode="_-&quot;$&quot;* #,##0.00_-;\-&quot;$&quot;* #,##0.00_-;_-&quot;$&quot;* &quot;-&quot;??_-;_-@_-"/>
    <numFmt numFmtId="43" formatCode="_-* #,##0.00_-;\-* #,##0.00_-;_-* &quot;-&quot;??_-;_-@_-"/>
    <numFmt numFmtId="164" formatCode="&quot;$&quot;#,##0_);[Red]\(&quot;$&quot;#,##0\)"/>
    <numFmt numFmtId="165" formatCode="0.0%"/>
    <numFmt numFmtId="166" formatCode="_-&quot;$&quot;* #,##0_-;\-&quot;$&quot;* #,##0_-;_-&quot;$&quot;* &quot;-&quot;??_-;_-@_-"/>
    <numFmt numFmtId="167" formatCode="&quot;$&quot;#,##0_);[Red]\(&quot;$&quot;#,##0\);&quot;$&quot;\ \-"/>
    <numFmt numFmtId="168" formatCode="\(#\)"/>
    <numFmt numFmtId="169" formatCode="_(* #,##0.00_);_(* \(#,##0.00\);_(* &quot;-&quot;_);_(@_)"/>
    <numFmt numFmtId="170" formatCode="#,##0;[Red]\(#,##0\)"/>
    <numFmt numFmtId="171" formatCode="&quot;$&quot;#,##0\ ;[Red]&quot;$&quot;\(#,##0\)"/>
  </numFmts>
  <fonts count="55">
    <font>
      <sz val="10"/>
      <name val="Arial"/>
    </font>
    <font>
      <sz val="10"/>
      <name val="Arial"/>
      <family val="2"/>
    </font>
    <font>
      <sz val="8"/>
      <name val="Arial"/>
      <family val="2"/>
    </font>
    <font>
      <b/>
      <sz val="10"/>
      <name val="Arial"/>
      <family val="2"/>
    </font>
    <font>
      <u/>
      <sz val="10"/>
      <color indexed="12"/>
      <name val="Arial"/>
      <family val="2"/>
    </font>
    <font>
      <b/>
      <sz val="12"/>
      <name val="Arial"/>
      <family val="2"/>
    </font>
    <font>
      <sz val="8"/>
      <name val="Arial"/>
      <family val="2"/>
    </font>
    <font>
      <sz val="10"/>
      <name val="Arial"/>
      <family val="2"/>
    </font>
    <font>
      <u/>
      <sz val="10"/>
      <name val="Arial"/>
      <family val="2"/>
    </font>
    <font>
      <u/>
      <sz val="10"/>
      <name val="Arial"/>
      <family val="2"/>
    </font>
    <font>
      <b/>
      <u/>
      <sz val="10"/>
      <name val="Arial"/>
      <family val="2"/>
    </font>
    <font>
      <sz val="10"/>
      <color indexed="10"/>
      <name val="Arial"/>
      <family val="2"/>
    </font>
    <font>
      <b/>
      <sz val="10"/>
      <color indexed="10"/>
      <name val="Arial"/>
      <family val="2"/>
    </font>
    <font>
      <sz val="16"/>
      <color indexed="12"/>
      <name val="Algerian"/>
      <family val="5"/>
    </font>
    <font>
      <sz val="14"/>
      <name val="Arial"/>
      <family val="2"/>
    </font>
    <font>
      <b/>
      <sz val="14"/>
      <name val="Arial"/>
      <family val="2"/>
    </font>
    <font>
      <b/>
      <u/>
      <sz val="10"/>
      <color indexed="12"/>
      <name val="Arial"/>
      <family val="2"/>
    </font>
    <font>
      <b/>
      <sz val="10"/>
      <color indexed="12"/>
      <name val="Arial"/>
      <family val="2"/>
    </font>
    <font>
      <sz val="10"/>
      <color indexed="12"/>
      <name val="Arial"/>
      <family val="2"/>
    </font>
    <font>
      <sz val="10"/>
      <color indexed="12"/>
      <name val="Arial"/>
      <family val="2"/>
    </font>
    <font>
      <b/>
      <sz val="8"/>
      <color indexed="10"/>
      <name val="Arial"/>
      <family val="2"/>
    </font>
    <font>
      <b/>
      <i/>
      <sz val="10"/>
      <color indexed="10"/>
      <name val="Arial"/>
      <family val="2"/>
    </font>
    <font>
      <b/>
      <sz val="10"/>
      <color indexed="9"/>
      <name val="Arial"/>
      <family val="2"/>
    </font>
    <font>
      <sz val="10"/>
      <color indexed="9"/>
      <name val="Arial"/>
      <family val="2"/>
    </font>
    <font>
      <i/>
      <sz val="10"/>
      <name val="Arial"/>
      <family val="2"/>
    </font>
    <font>
      <b/>
      <u/>
      <sz val="12"/>
      <color indexed="10"/>
      <name val="Cooper Black"/>
      <family val="1"/>
    </font>
    <font>
      <sz val="11"/>
      <color indexed="8"/>
      <name val="Calibri"/>
      <family val="2"/>
    </font>
    <font>
      <b/>
      <sz val="9"/>
      <name val="Arial"/>
      <family val="2"/>
    </font>
    <font>
      <sz val="10"/>
      <color indexed="9"/>
      <name val="Arial"/>
      <family val="2"/>
    </font>
    <font>
      <b/>
      <sz val="12"/>
      <name val="Book Antiqua"/>
      <family val="1"/>
    </font>
    <font>
      <sz val="8"/>
      <name val="Arial"/>
      <family val="2"/>
    </font>
    <font>
      <b/>
      <sz val="20"/>
      <color indexed="9"/>
      <name val="Book Antiqua"/>
      <family val="1"/>
    </font>
    <font>
      <b/>
      <sz val="11"/>
      <color indexed="48"/>
      <name val="Arial"/>
      <family val="2"/>
    </font>
    <font>
      <sz val="11"/>
      <name val="Arial"/>
      <family val="2"/>
    </font>
    <font>
      <b/>
      <u/>
      <sz val="12"/>
      <color indexed="12"/>
      <name val="Arial"/>
      <family val="2"/>
    </font>
    <font>
      <u/>
      <sz val="12"/>
      <color indexed="12"/>
      <name val="Arial"/>
      <family val="2"/>
    </font>
    <font>
      <sz val="14"/>
      <color indexed="12"/>
      <name val="Arial"/>
      <family val="2"/>
    </font>
    <font>
      <b/>
      <sz val="10"/>
      <color indexed="9"/>
      <name val="Arial"/>
      <family val="2"/>
    </font>
    <font>
      <sz val="12"/>
      <name val="Arial"/>
      <family val="2"/>
    </font>
    <font>
      <sz val="12"/>
      <color indexed="12"/>
      <name val="Arial"/>
      <family val="2"/>
    </font>
    <font>
      <b/>
      <sz val="12"/>
      <color indexed="12"/>
      <name val="Arial"/>
      <family val="2"/>
    </font>
    <font>
      <b/>
      <sz val="11"/>
      <color theme="3"/>
      <name val="Arial"/>
      <family val="2"/>
      <scheme val="minor"/>
    </font>
    <font>
      <b/>
      <sz val="11"/>
      <color theme="1"/>
      <name val="Arial"/>
      <family val="2"/>
      <scheme val="minor"/>
    </font>
    <font>
      <b/>
      <sz val="11"/>
      <color theme="1"/>
      <name val="Arial"/>
      <family val="2"/>
    </font>
    <font>
      <sz val="11"/>
      <color theme="1"/>
      <name val="Arial"/>
      <family val="2"/>
    </font>
    <font>
      <i/>
      <sz val="11"/>
      <color theme="0" tint="-0.34998626667073579"/>
      <name val="Arial"/>
      <family val="2"/>
    </font>
    <font>
      <sz val="10"/>
      <color rgb="FF000000"/>
      <name val="Arial"/>
      <family val="2"/>
    </font>
    <font>
      <b/>
      <vertAlign val="superscript"/>
      <sz val="14"/>
      <name val="Arial"/>
      <family val="2"/>
    </font>
    <font>
      <sz val="10"/>
      <color rgb="FFFF0000"/>
      <name val="Arial"/>
      <family val="2"/>
    </font>
    <font>
      <sz val="10"/>
      <color theme="1"/>
      <name val="Arial"/>
      <family val="2"/>
      <scheme val="minor"/>
    </font>
    <font>
      <b/>
      <vertAlign val="superscript"/>
      <sz val="10"/>
      <name val="Arial"/>
      <family val="2"/>
    </font>
    <font>
      <b/>
      <sz val="10"/>
      <color rgb="FFFF0000"/>
      <name val="Arial"/>
      <family val="2"/>
    </font>
    <font>
      <b/>
      <sz val="10"/>
      <color rgb="FF0070C0"/>
      <name val="Arial"/>
      <family val="2"/>
    </font>
    <font>
      <b/>
      <i/>
      <sz val="18"/>
      <name val="Arial"/>
      <family val="2"/>
    </font>
    <font>
      <b/>
      <i/>
      <sz val="10"/>
      <name val="Arial"/>
      <family val="2"/>
    </font>
  </fonts>
  <fills count="9">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rgb="FFCCFF99"/>
        <bgColor indexed="64"/>
      </patternFill>
    </fill>
    <fill>
      <patternFill patternType="solid">
        <fgColor theme="2"/>
        <bgColor indexed="64"/>
      </patternFill>
    </fill>
  </fills>
  <borders count="46">
    <border>
      <left/>
      <right/>
      <top/>
      <bottom/>
      <diagonal/>
    </border>
    <border>
      <left/>
      <right style="thin">
        <color indexed="64"/>
      </right>
      <top/>
      <bottom/>
      <diagonal/>
    </border>
    <border>
      <left/>
      <right/>
      <top/>
      <bottom style="thin">
        <color indexed="64"/>
      </bottom>
      <diagonal/>
    </border>
    <border>
      <left/>
      <right/>
      <top style="thin">
        <color indexed="64"/>
      </top>
      <bottom/>
      <diagonal/>
    </border>
    <border>
      <left/>
      <right/>
      <top/>
      <bottom style="double">
        <color indexed="64"/>
      </bottom>
      <diagonal/>
    </border>
    <border>
      <left style="thin">
        <color indexed="64"/>
      </left>
      <right/>
      <top/>
      <bottom/>
      <diagonal/>
    </border>
    <border>
      <left/>
      <right/>
      <top style="thin">
        <color indexed="64"/>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style="double">
        <color indexed="64"/>
      </bottom>
      <diagonal/>
    </border>
    <border>
      <left/>
      <right style="thin">
        <color indexed="64"/>
      </right>
      <top style="thin">
        <color indexed="64"/>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diagonal/>
    </border>
    <border>
      <left/>
      <right style="thick">
        <color indexed="9"/>
      </right>
      <top/>
      <bottom/>
      <diagonal/>
    </border>
    <border>
      <left style="thin">
        <color indexed="64"/>
      </left>
      <right/>
      <top style="thin">
        <color indexed="64"/>
      </top>
      <bottom/>
      <diagonal/>
    </border>
    <border>
      <left style="thick">
        <color theme="0" tint="-0.34998626667073579"/>
      </left>
      <right/>
      <top style="thick">
        <color theme="0" tint="-0.34998626667073579"/>
      </top>
      <bottom style="medium">
        <color theme="0" tint="-4.9989318521683403E-2"/>
      </bottom>
      <diagonal/>
    </border>
    <border>
      <left/>
      <right/>
      <top style="thick">
        <color theme="0" tint="-0.34998626667073579"/>
      </top>
      <bottom style="medium">
        <color theme="0" tint="-4.9989318521683403E-2"/>
      </bottom>
      <diagonal/>
    </border>
    <border>
      <left/>
      <right style="medium">
        <color theme="0" tint="-4.9989318521683403E-2"/>
      </right>
      <top style="thick">
        <color theme="0" tint="-0.34998626667073579"/>
      </top>
      <bottom style="medium">
        <color theme="0" tint="-4.9989318521683403E-2"/>
      </bottom>
      <diagonal/>
    </border>
    <border>
      <left/>
      <right style="double">
        <color indexed="64"/>
      </right>
      <top/>
      <bottom/>
      <diagonal/>
    </border>
    <border>
      <left/>
      <right style="double">
        <color indexed="64"/>
      </right>
      <top/>
      <bottom style="medium">
        <color indexed="64"/>
      </bottom>
      <diagonal/>
    </border>
    <border>
      <left/>
      <right/>
      <top/>
      <bottom style="medium">
        <color indexed="64"/>
      </bottom>
      <diagonal/>
    </border>
    <border>
      <left style="double">
        <color indexed="64"/>
      </left>
      <right/>
      <top style="double">
        <color indexed="64"/>
      </top>
      <bottom style="medium">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style="double">
        <color indexed="64"/>
      </left>
      <right style="double">
        <color indexed="64"/>
      </right>
      <top style="medium">
        <color indexed="64"/>
      </top>
      <bottom style="double">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style="medium">
        <color indexed="64"/>
      </top>
      <bottom style="double">
        <color indexed="64"/>
      </bottom>
      <diagonal/>
    </border>
    <border>
      <left style="medium">
        <color indexed="64"/>
      </left>
      <right style="medium">
        <color indexed="64"/>
      </right>
      <top style="medium">
        <color indexed="64"/>
      </top>
      <bottom style="double">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double">
        <color indexed="64"/>
      </right>
      <top style="medium">
        <color indexed="64"/>
      </top>
      <bottom/>
      <diagonal/>
    </border>
    <border>
      <left/>
      <right style="double">
        <color indexed="64"/>
      </right>
      <top style="medium">
        <color indexed="64"/>
      </top>
      <bottom/>
      <diagonal/>
    </border>
    <border>
      <left/>
      <right style="medium">
        <color indexed="64"/>
      </right>
      <top/>
      <bottom/>
      <diagonal/>
    </border>
    <border>
      <left style="medium">
        <color indexed="64"/>
      </left>
      <right style="double">
        <color indexed="64"/>
      </right>
      <top/>
      <bottom/>
      <diagonal/>
    </border>
    <border>
      <left style="medium">
        <color indexed="64"/>
      </left>
      <right style="medium">
        <color indexed="64"/>
      </right>
      <top/>
      <bottom/>
      <diagonal/>
    </border>
    <border>
      <left style="double">
        <color indexed="64"/>
      </left>
      <right style="medium">
        <color indexed="64"/>
      </right>
      <top style="double">
        <color indexed="64"/>
      </top>
      <bottom/>
      <diagonal/>
    </border>
    <border>
      <left style="medium">
        <color indexed="64"/>
      </left>
      <right style="medium">
        <color indexed="64"/>
      </right>
      <top style="double">
        <color indexed="64"/>
      </top>
      <bottom/>
      <diagonal/>
    </border>
    <border>
      <left style="medium">
        <color indexed="64"/>
      </left>
      <right style="double">
        <color indexed="64"/>
      </right>
      <top style="double">
        <color indexed="64"/>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right style="medium">
        <color indexed="64"/>
      </right>
      <top/>
      <bottom style="double">
        <color indexed="64"/>
      </bottom>
      <diagonal/>
    </border>
    <border>
      <left style="medium">
        <color indexed="64"/>
      </left>
      <right style="double">
        <color indexed="64"/>
      </right>
      <top/>
      <bottom style="double">
        <color indexed="64"/>
      </bottom>
      <diagonal/>
    </border>
    <border>
      <left style="medium">
        <color indexed="64"/>
      </left>
      <right style="medium">
        <color indexed="64"/>
      </right>
      <top/>
      <bottom style="double">
        <color indexed="64"/>
      </bottom>
      <diagonal/>
    </border>
    <border>
      <left/>
      <right style="double">
        <color indexed="64"/>
      </right>
      <top/>
      <bottom style="double">
        <color indexed="64"/>
      </bottom>
      <diagonal/>
    </border>
    <border>
      <left style="double">
        <color indexed="64"/>
      </left>
      <right style="double">
        <color indexed="64"/>
      </right>
      <top style="double">
        <color indexed="64"/>
      </top>
      <bottom style="medium">
        <color indexed="64"/>
      </bottom>
      <diagonal/>
    </border>
  </borders>
  <cellStyleXfs count="10">
    <xf numFmtId="0" fontId="0" fillId="0" borderId="0"/>
    <xf numFmtId="43" fontId="1" fillId="0" borderId="0" applyFont="0" applyFill="0" applyBorder="0" applyAlignment="0" applyProtection="0"/>
    <xf numFmtId="44" fontId="1" fillId="0" borderId="0" applyFont="0" applyFill="0" applyBorder="0" applyAlignment="0" applyProtection="0"/>
    <xf numFmtId="0" fontId="4" fillId="0" borderId="0" applyNumberFormat="0" applyFill="0" applyBorder="0" applyAlignment="0" applyProtection="0">
      <alignment vertical="top"/>
      <protection locked="0"/>
    </xf>
    <xf numFmtId="0" fontId="26"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cellStyleXfs>
  <cellXfs count="619">
    <xf numFmtId="0" fontId="0" fillId="0" borderId="0" xfId="0"/>
    <xf numFmtId="0" fontId="13" fillId="2" borderId="0" xfId="0" applyFont="1" applyFill="1" applyAlignment="1" applyProtection="1">
      <alignment vertical="top" wrapText="1"/>
    </xf>
    <xf numFmtId="0" fontId="0" fillId="2" borderId="0" xfId="0" applyFill="1" applyBorder="1" applyProtection="1"/>
    <xf numFmtId="0" fontId="5" fillId="2" borderId="0" xfId="0" applyFont="1" applyFill="1" applyBorder="1" applyAlignment="1" applyProtection="1"/>
    <xf numFmtId="0" fontId="3" fillId="0" borderId="0" xfId="0" applyFont="1" applyProtection="1"/>
    <xf numFmtId="0" fontId="0" fillId="0" borderId="0" xfId="0" applyProtection="1"/>
    <xf numFmtId="0" fontId="7" fillId="2" borderId="0" xfId="0" applyFont="1" applyFill="1" applyBorder="1" applyAlignment="1" applyProtection="1">
      <alignment horizontal="left"/>
    </xf>
    <xf numFmtId="0" fontId="0" fillId="2" borderId="0" xfId="0" applyFill="1" applyBorder="1" applyProtection="1">
      <protection locked="0"/>
    </xf>
    <xf numFmtId="0" fontId="13" fillId="2" borderId="0" xfId="0" applyFont="1" applyFill="1" applyAlignment="1" applyProtection="1">
      <alignment horizontal="left" vertical="top" wrapText="1" indent="1"/>
    </xf>
    <xf numFmtId="0" fontId="20" fillId="2" borderId="0" xfId="0" applyFont="1" applyFill="1" applyBorder="1" applyAlignment="1" applyProtection="1">
      <alignment horizontal="center"/>
    </xf>
    <xf numFmtId="0" fontId="21" fillId="2" borderId="0" xfId="0" applyFont="1" applyFill="1" applyBorder="1" applyAlignment="1" applyProtection="1">
      <alignment vertical="top" wrapText="1"/>
    </xf>
    <xf numFmtId="0" fontId="3" fillId="0" borderId="0" xfId="0" quotePrefix="1" applyFont="1" applyAlignment="1" applyProtection="1">
      <alignment vertical="top"/>
    </xf>
    <xf numFmtId="0" fontId="17" fillId="2" borderId="0" xfId="0" applyFont="1" applyFill="1" applyBorder="1" applyAlignment="1" applyProtection="1">
      <alignment horizontal="center"/>
    </xf>
    <xf numFmtId="0" fontId="3" fillId="0" borderId="0" xfId="0" quotePrefix="1" applyFont="1" applyBorder="1" applyAlignment="1" applyProtection="1">
      <alignment vertical="center"/>
    </xf>
    <xf numFmtId="0" fontId="5" fillId="0" borderId="0" xfId="0" applyFont="1" applyBorder="1" applyAlignment="1" applyProtection="1">
      <alignment vertical="center"/>
    </xf>
    <xf numFmtId="0" fontId="0" fillId="0" borderId="0" xfId="0" applyAlignment="1" applyProtection="1"/>
    <xf numFmtId="0" fontId="17" fillId="0" borderId="0" xfId="0" applyFont="1" applyProtection="1"/>
    <xf numFmtId="0" fontId="16" fillId="0" borderId="0" xfId="0" applyFont="1" applyBorder="1" applyProtection="1"/>
    <xf numFmtId="0" fontId="3" fillId="0" borderId="0" xfId="0" quotePrefix="1" applyFont="1" applyProtection="1"/>
    <xf numFmtId="164" fontId="0" fillId="0" borderId="0" xfId="2" applyNumberFormat="1" applyFont="1" applyFill="1" applyProtection="1"/>
    <xf numFmtId="0" fontId="18" fillId="0" borderId="0" xfId="0" applyFont="1" applyProtection="1"/>
    <xf numFmtId="164" fontId="0" fillId="0" borderId="0" xfId="0" applyNumberFormat="1" applyFill="1" applyProtection="1"/>
    <xf numFmtId="164" fontId="0" fillId="0" borderId="0" xfId="0" applyNumberFormat="1" applyProtection="1"/>
    <xf numFmtId="0" fontId="16" fillId="0" borderId="0" xfId="0" applyFont="1" applyAlignment="1" applyProtection="1"/>
    <xf numFmtId="0" fontId="7" fillId="0" borderId="0" xfId="0" applyFont="1" applyAlignment="1" applyProtection="1"/>
    <xf numFmtId="0" fontId="7" fillId="0" borderId="0" xfId="0" applyFont="1" applyProtection="1"/>
    <xf numFmtId="0" fontId="0" fillId="0" borderId="0" xfId="0" applyFill="1" applyProtection="1"/>
    <xf numFmtId="0" fontId="16" fillId="0" borderId="0" xfId="0" applyFont="1" applyProtection="1"/>
    <xf numFmtId="0" fontId="0" fillId="0" borderId="0" xfId="0" applyAlignment="1" applyProtection="1">
      <alignment wrapText="1"/>
    </xf>
    <xf numFmtId="167" fontId="0" fillId="0" borderId="0" xfId="2" applyNumberFormat="1" applyFont="1" applyFill="1" applyProtection="1"/>
    <xf numFmtId="0" fontId="0" fillId="0" borderId="0" xfId="0" applyFill="1" applyBorder="1" applyProtection="1"/>
    <xf numFmtId="0" fontId="1" fillId="0" borderId="0" xfId="0" applyFont="1" applyProtection="1"/>
    <xf numFmtId="9" fontId="11" fillId="0" borderId="0" xfId="5" applyFont="1" applyFill="1" applyAlignment="1" applyProtection="1">
      <alignment wrapText="1"/>
    </xf>
    <xf numFmtId="0" fontId="0" fillId="2" borderId="0" xfId="0" applyFill="1" applyBorder="1" applyAlignment="1" applyProtection="1">
      <alignment horizontal="left" indent="1"/>
    </xf>
    <xf numFmtId="0" fontId="0" fillId="0" borderId="0" xfId="0" applyBorder="1" applyProtection="1"/>
    <xf numFmtId="0" fontId="0" fillId="0" borderId="1" xfId="0" applyBorder="1" applyProtection="1"/>
    <xf numFmtId="0" fontId="14" fillId="2" borderId="0" xfId="0" applyFont="1" applyFill="1" applyBorder="1" applyAlignment="1" applyProtection="1">
      <alignment horizontal="left" indent="7"/>
    </xf>
    <xf numFmtId="0" fontId="3" fillId="0" borderId="0" xfId="0" applyFont="1" applyBorder="1" applyAlignment="1" applyProtection="1">
      <alignment horizontal="left"/>
    </xf>
    <xf numFmtId="0" fontId="0" fillId="2" borderId="0" xfId="0" applyFill="1" applyBorder="1" applyAlignment="1" applyProtection="1">
      <alignment horizontal="left" indent="2"/>
    </xf>
    <xf numFmtId="0" fontId="5" fillId="0" borderId="0" xfId="0" applyFont="1" applyFill="1" applyAlignment="1" applyProtection="1">
      <alignment vertical="center"/>
    </xf>
    <xf numFmtId="0" fontId="5" fillId="0" borderId="0" xfId="0" applyFont="1" applyFill="1" applyAlignment="1" applyProtection="1">
      <alignment horizontal="center" vertical="center"/>
    </xf>
    <xf numFmtId="0" fontId="3" fillId="0" borderId="2" xfId="0" applyFont="1" applyBorder="1" applyAlignment="1" applyProtection="1">
      <alignment horizontal="right" wrapText="1"/>
    </xf>
    <xf numFmtId="0" fontId="3" fillId="0" borderId="2" xfId="0" applyFont="1" applyBorder="1" applyAlignment="1" applyProtection="1">
      <alignment horizontal="center" vertical="center"/>
    </xf>
    <xf numFmtId="0" fontId="0" fillId="0" borderId="0" xfId="0" applyAlignment="1" applyProtection="1">
      <alignment horizontal="left"/>
    </xf>
    <xf numFmtId="0" fontId="3" fillId="0" borderId="0" xfId="0" applyFont="1" applyBorder="1" applyAlignment="1" applyProtection="1">
      <alignment horizontal="center" vertical="center"/>
    </xf>
    <xf numFmtId="167" fontId="7" fillId="0" borderId="0" xfId="2" applyNumberFormat="1" applyFont="1" applyBorder="1" applyAlignment="1" applyProtection="1">
      <alignment horizontal="right" vertical="center"/>
    </xf>
    <xf numFmtId="167" fontId="0" fillId="0" borderId="0" xfId="2" applyNumberFormat="1" applyFont="1" applyProtection="1"/>
    <xf numFmtId="167" fontId="0" fillId="0" borderId="0" xfId="2" applyNumberFormat="1" applyFont="1" applyBorder="1" applyProtection="1"/>
    <xf numFmtId="167" fontId="0" fillId="0" borderId="0" xfId="2" applyNumberFormat="1" applyFont="1" applyBorder="1" applyAlignment="1" applyProtection="1"/>
    <xf numFmtId="167" fontId="0" fillId="0" borderId="0" xfId="2" applyNumberFormat="1" applyFont="1" applyBorder="1" applyAlignment="1" applyProtection="1">
      <alignment horizontal="right"/>
    </xf>
    <xf numFmtId="167" fontId="0" fillId="0" borderId="3" xfId="2" applyNumberFormat="1" applyFont="1" applyBorder="1" applyAlignment="1" applyProtection="1"/>
    <xf numFmtId="167" fontId="0" fillId="0" borderId="3" xfId="0" applyNumberFormat="1" applyBorder="1" applyAlignment="1" applyProtection="1"/>
    <xf numFmtId="167" fontId="0" fillId="0" borderId="4" xfId="2" applyNumberFormat="1" applyFont="1" applyBorder="1" applyAlignment="1" applyProtection="1"/>
    <xf numFmtId="167" fontId="0" fillId="0" borderId="0" xfId="0" applyNumberFormat="1" applyProtection="1"/>
    <xf numFmtId="167" fontId="0" fillId="0" borderId="2" xfId="2" applyNumberFormat="1" applyFont="1" applyBorder="1" applyProtection="1"/>
    <xf numFmtId="167" fontId="0" fillId="0" borderId="2" xfId="2" applyNumberFormat="1" applyFont="1" applyBorder="1" applyAlignment="1" applyProtection="1"/>
    <xf numFmtId="0" fontId="17" fillId="0" borderId="0" xfId="0" applyFont="1" applyAlignment="1" applyProtection="1">
      <alignment wrapText="1"/>
    </xf>
    <xf numFmtId="166" fontId="0" fillId="0" borderId="0" xfId="0" applyNumberFormat="1" applyFill="1" applyProtection="1"/>
    <xf numFmtId="0" fontId="5" fillId="0" borderId="0" xfId="0" applyFont="1" applyFill="1" applyAlignment="1" applyProtection="1"/>
    <xf numFmtId="0" fontId="5" fillId="0" borderId="0" xfId="0" applyFont="1" applyFill="1" applyAlignment="1" applyProtection="1">
      <alignment horizontal="center"/>
    </xf>
    <xf numFmtId="0" fontId="0" fillId="0" borderId="3" xfId="0" applyBorder="1" applyProtection="1"/>
    <xf numFmtId="0" fontId="0" fillId="0" borderId="0" xfId="0" applyBorder="1" applyAlignment="1" applyProtection="1">
      <alignment wrapText="1"/>
    </xf>
    <xf numFmtId="0" fontId="3" fillId="0" borderId="0" xfId="0" applyFont="1" applyBorder="1" applyAlignment="1" applyProtection="1">
      <alignment wrapText="1"/>
    </xf>
    <xf numFmtId="0" fontId="0" fillId="0" borderId="5" xfId="0" applyFill="1" applyBorder="1" applyAlignment="1" applyProtection="1">
      <alignment horizontal="center" vertical="center"/>
    </xf>
    <xf numFmtId="0" fontId="3" fillId="0" borderId="1" xfId="0" applyFont="1" applyFill="1" applyBorder="1" applyAlignment="1" applyProtection="1">
      <alignment horizontal="center" vertical="center" wrapText="1"/>
    </xf>
    <xf numFmtId="0" fontId="0" fillId="0" borderId="5" xfId="0" applyBorder="1" applyProtection="1"/>
    <xf numFmtId="0" fontId="3" fillId="0" borderId="0" xfId="0" applyFont="1" applyBorder="1" applyProtection="1"/>
    <xf numFmtId="0" fontId="3" fillId="0" borderId="1" xfId="0" applyFont="1" applyFill="1" applyBorder="1" applyAlignment="1" applyProtection="1">
      <alignment vertical="center" wrapText="1"/>
    </xf>
    <xf numFmtId="167" fontId="0" fillId="0" borderId="1" xfId="2" applyNumberFormat="1" applyFont="1" applyBorder="1" applyProtection="1"/>
    <xf numFmtId="0" fontId="3" fillId="0" borderId="0" xfId="0" applyFont="1" applyFill="1" applyBorder="1" applyAlignment="1" applyProtection="1">
      <alignment horizontal="center" vertical="center"/>
    </xf>
    <xf numFmtId="0" fontId="3" fillId="0" borderId="0" xfId="0" applyFont="1" applyBorder="1" applyAlignment="1" applyProtection="1"/>
    <xf numFmtId="0" fontId="7" fillId="0" borderId="0" xfId="0" applyFont="1" applyAlignment="1" applyProtection="1">
      <alignment wrapText="1"/>
    </xf>
    <xf numFmtId="0" fontId="1" fillId="0" borderId="0" xfId="0" applyFont="1" applyFill="1" applyProtection="1"/>
    <xf numFmtId="0" fontId="3" fillId="0" borderId="0" xfId="0" applyFont="1" applyFill="1" applyBorder="1" applyProtection="1"/>
    <xf numFmtId="0" fontId="3" fillId="0" borderId="0" xfId="0" applyFont="1" applyAlignment="1" applyProtection="1">
      <alignment horizontal="left"/>
    </xf>
    <xf numFmtId="0" fontId="3" fillId="0" borderId="0" xfId="0" applyFont="1" applyBorder="1" applyAlignment="1" applyProtection="1">
      <alignment vertical="center"/>
    </xf>
    <xf numFmtId="0" fontId="0" fillId="0" borderId="0" xfId="0" applyBorder="1" applyAlignment="1" applyProtection="1">
      <alignment horizontal="center"/>
    </xf>
    <xf numFmtId="49" fontId="0" fillId="0" borderId="0" xfId="0" applyNumberFormat="1" applyBorder="1" applyProtection="1"/>
    <xf numFmtId="0" fontId="0" fillId="0" borderId="0" xfId="0" quotePrefix="1" applyBorder="1" applyProtection="1"/>
    <xf numFmtId="0" fontId="17" fillId="0" borderId="2" xfId="0" applyFont="1" applyBorder="1" applyProtection="1"/>
    <xf numFmtId="10" fontId="0" fillId="0" borderId="0" xfId="5" applyNumberFormat="1" applyFont="1" applyFill="1" applyBorder="1" applyProtection="1"/>
    <xf numFmtId="10" fontId="0" fillId="0" borderId="2" xfId="5" applyNumberFormat="1" applyFont="1" applyFill="1" applyBorder="1" applyProtection="1"/>
    <xf numFmtId="0" fontId="17" fillId="0" borderId="0" xfId="0" applyFont="1" applyBorder="1" applyProtection="1"/>
    <xf numFmtId="10" fontId="0" fillId="0" borderId="6" xfId="5" applyNumberFormat="1" applyFont="1" applyBorder="1" applyProtection="1"/>
    <xf numFmtId="165" fontId="0" fillId="0" borderId="6" xfId="5" applyNumberFormat="1" applyFont="1" applyBorder="1" applyProtection="1"/>
    <xf numFmtId="167" fontId="0" fillId="0" borderId="6" xfId="2" applyNumberFormat="1" applyFont="1" applyBorder="1" applyProtection="1"/>
    <xf numFmtId="165" fontId="0" fillId="0" borderId="0" xfId="5" applyNumberFormat="1" applyFont="1" applyBorder="1" applyProtection="1"/>
    <xf numFmtId="167" fontId="0" fillId="0" borderId="0" xfId="0" applyNumberFormat="1" applyBorder="1" applyProtection="1"/>
    <xf numFmtId="10" fontId="0" fillId="0" borderId="0" xfId="5" applyNumberFormat="1" applyFont="1" applyBorder="1" applyProtection="1"/>
    <xf numFmtId="0" fontId="0" fillId="0" borderId="0" xfId="0" applyBorder="1" applyAlignment="1" applyProtection="1"/>
    <xf numFmtId="0" fontId="0" fillId="0" borderId="0" xfId="0" quotePrefix="1" applyBorder="1" applyAlignment="1" applyProtection="1"/>
    <xf numFmtId="10" fontId="0" fillId="0" borderId="0" xfId="5" applyNumberFormat="1" applyFont="1" applyBorder="1" applyAlignment="1" applyProtection="1"/>
    <xf numFmtId="10" fontId="0" fillId="0" borderId="0" xfId="5" applyNumberFormat="1" applyFont="1" applyFill="1" applyBorder="1" applyAlignment="1" applyProtection="1"/>
    <xf numFmtId="10" fontId="0" fillId="0" borderId="2" xfId="5" applyNumberFormat="1" applyFont="1" applyFill="1" applyBorder="1" applyAlignment="1" applyProtection="1"/>
    <xf numFmtId="9" fontId="0" fillId="0" borderId="4" xfId="0" applyNumberFormat="1" applyBorder="1" applyProtection="1"/>
    <xf numFmtId="167" fontId="0" fillId="0" borderId="4" xfId="2" applyNumberFormat="1" applyFont="1" applyBorder="1" applyProtection="1"/>
    <xf numFmtId="10" fontId="0" fillId="0" borderId="4" xfId="5" applyNumberFormat="1" applyFont="1" applyBorder="1" applyProtection="1"/>
    <xf numFmtId="0" fontId="5" fillId="2" borderId="0" xfId="0" applyFont="1" applyFill="1" applyBorder="1" applyAlignment="1" applyProtection="1">
      <alignment horizontal="left" indent="1"/>
    </xf>
    <xf numFmtId="0" fontId="8" fillId="0" borderId="0" xfId="0" applyFont="1" applyAlignment="1" applyProtection="1"/>
    <xf numFmtId="0" fontId="8" fillId="0" borderId="0" xfId="0" applyFont="1" applyBorder="1" applyAlignment="1" applyProtection="1"/>
    <xf numFmtId="167" fontId="0" fillId="0" borderId="0" xfId="2" applyNumberFormat="1" applyFont="1" applyFill="1" applyBorder="1" applyProtection="1"/>
    <xf numFmtId="164" fontId="0" fillId="0" borderId="0" xfId="0" applyNumberFormat="1" applyBorder="1" applyProtection="1"/>
    <xf numFmtId="167" fontId="0" fillId="0" borderId="2" xfId="2" applyNumberFormat="1" applyFont="1" applyFill="1" applyBorder="1" applyProtection="1"/>
    <xf numFmtId="0" fontId="8" fillId="0" borderId="0" xfId="0" applyFont="1" applyProtection="1"/>
    <xf numFmtId="0" fontId="8" fillId="0" borderId="0" xfId="0" applyFont="1" applyBorder="1" applyProtection="1"/>
    <xf numFmtId="167" fontId="8" fillId="0" borderId="0" xfId="0" applyNumberFormat="1" applyFont="1" applyProtection="1"/>
    <xf numFmtId="167" fontId="1" fillId="0" borderId="0" xfId="0" applyNumberFormat="1" applyFont="1" applyFill="1" applyAlignment="1" applyProtection="1"/>
    <xf numFmtId="167" fontId="0" fillId="0" borderId="0" xfId="2" applyNumberFormat="1" applyFont="1" applyFill="1" applyBorder="1" applyAlignment="1" applyProtection="1"/>
    <xf numFmtId="164" fontId="0" fillId="0" borderId="0" xfId="0" applyNumberFormat="1" applyBorder="1" applyAlignment="1" applyProtection="1">
      <alignment horizontal="right"/>
    </xf>
    <xf numFmtId="167" fontId="0" fillId="0" borderId="0" xfId="2" applyNumberFormat="1" applyFont="1" applyBorder="1" applyAlignment="1" applyProtection="1">
      <alignment horizontal="center"/>
    </xf>
    <xf numFmtId="0" fontId="9" fillId="0" borderId="0" xfId="0" applyFont="1" applyProtection="1"/>
    <xf numFmtId="0" fontId="9" fillId="0" borderId="0" xfId="0" applyFont="1" applyBorder="1" applyProtection="1"/>
    <xf numFmtId="9" fontId="0" fillId="0" borderId="0" xfId="5" quotePrefix="1" applyFont="1" applyAlignment="1" applyProtection="1">
      <alignment horizontal="right"/>
    </xf>
    <xf numFmtId="9" fontId="0" fillId="0" borderId="0" xfId="5" applyFont="1" applyBorder="1" applyAlignment="1" applyProtection="1">
      <alignment horizontal="right"/>
    </xf>
    <xf numFmtId="0" fontId="0" fillId="0" borderId="0" xfId="0" quotePrefix="1" applyAlignment="1" applyProtection="1">
      <alignment horizontal="right"/>
    </xf>
    <xf numFmtId="10" fontId="0" fillId="0" borderId="0" xfId="5" applyNumberFormat="1" applyFont="1" applyFill="1" applyBorder="1" applyAlignment="1" applyProtection="1">
      <alignment horizontal="right"/>
    </xf>
    <xf numFmtId="10" fontId="0" fillId="0" borderId="6" xfId="0" applyNumberFormat="1" applyBorder="1" applyProtection="1"/>
    <xf numFmtId="9" fontId="0" fillId="0" borderId="0" xfId="0" applyNumberFormat="1" applyBorder="1" applyProtection="1"/>
    <xf numFmtId="10" fontId="0" fillId="0" borderId="6" xfId="5" applyNumberFormat="1" applyFont="1" applyBorder="1" applyAlignment="1" applyProtection="1"/>
    <xf numFmtId="0" fontId="6" fillId="0" borderId="0" xfId="0" applyFont="1" applyAlignment="1" applyProtection="1">
      <alignment wrapText="1"/>
    </xf>
    <xf numFmtId="0" fontId="0" fillId="0" borderId="0" xfId="0" applyAlignment="1" applyProtection="1">
      <alignment horizontal="right"/>
    </xf>
    <xf numFmtId="0" fontId="19" fillId="0" borderId="0" xfId="0" applyFont="1" applyProtection="1"/>
    <xf numFmtId="164" fontId="0" fillId="0" borderId="0" xfId="2" applyNumberFormat="1" applyFont="1" applyAlignment="1" applyProtection="1">
      <alignment horizontal="right"/>
    </xf>
    <xf numFmtId="164" fontId="0" fillId="0" borderId="0" xfId="2" applyNumberFormat="1" applyFont="1" applyFill="1" applyBorder="1" applyAlignment="1" applyProtection="1">
      <alignment horizontal="right"/>
    </xf>
    <xf numFmtId="167" fontId="0" fillId="0" borderId="1" xfId="2" applyNumberFormat="1" applyFont="1" applyFill="1" applyBorder="1" applyProtection="1"/>
    <xf numFmtId="0" fontId="0" fillId="0" borderId="7" xfId="0" applyBorder="1" applyProtection="1"/>
    <xf numFmtId="0" fontId="0" fillId="0" borderId="2" xfId="0" applyBorder="1" applyProtection="1"/>
    <xf numFmtId="0" fontId="3" fillId="0" borderId="0" xfId="0" applyFont="1" applyFill="1" applyAlignment="1" applyProtection="1">
      <alignment horizontal="center"/>
    </xf>
    <xf numFmtId="164" fontId="0" fillId="0" borderId="0" xfId="2" applyNumberFormat="1" applyFont="1" applyBorder="1" applyProtection="1"/>
    <xf numFmtId="0" fontId="7" fillId="0" borderId="0" xfId="0" applyFont="1" applyBorder="1" applyAlignment="1" applyProtection="1"/>
    <xf numFmtId="0" fontId="0" fillId="0" borderId="5" xfId="0" applyBorder="1" applyAlignment="1" applyProtection="1"/>
    <xf numFmtId="0" fontId="0" fillId="0" borderId="1" xfId="0" applyBorder="1" applyAlignment="1" applyProtection="1"/>
    <xf numFmtId="167" fontId="0" fillId="0" borderId="8" xfId="2" applyNumberFormat="1" applyFont="1" applyFill="1" applyBorder="1" applyProtection="1"/>
    <xf numFmtId="49" fontId="3" fillId="0" borderId="0" xfId="0" applyNumberFormat="1" applyFont="1" applyBorder="1" applyProtection="1"/>
    <xf numFmtId="10" fontId="0" fillId="0" borderId="1" xfId="5" applyNumberFormat="1" applyFont="1" applyFill="1" applyBorder="1" applyProtection="1"/>
    <xf numFmtId="0" fontId="0" fillId="0" borderId="4" xfId="0" applyBorder="1" applyProtection="1"/>
    <xf numFmtId="0" fontId="0" fillId="0" borderId="9" xfId="0" applyBorder="1" applyProtection="1"/>
    <xf numFmtId="0" fontId="3" fillId="0" borderId="0" xfId="0" quotePrefix="1" applyFont="1" applyAlignment="1" applyProtection="1">
      <alignment horizontal="right"/>
    </xf>
    <xf numFmtId="0" fontId="3" fillId="0" borderId="0" xfId="0" quotePrefix="1" applyFont="1" applyFill="1" applyAlignment="1" applyProtection="1">
      <alignment horizontal="right"/>
    </xf>
    <xf numFmtId="0" fontId="0" fillId="0" borderId="0" xfId="0" applyProtection="1">
      <protection locked="0"/>
    </xf>
    <xf numFmtId="0" fontId="0" fillId="0" borderId="0" xfId="0" applyAlignment="1" applyProtection="1">
      <protection locked="0"/>
    </xf>
    <xf numFmtId="0" fontId="13" fillId="2" borderId="0" xfId="0" applyFont="1" applyFill="1" applyAlignment="1" applyProtection="1">
      <alignment horizontal="left" vertical="top" wrapText="1" indent="7"/>
    </xf>
    <xf numFmtId="167" fontId="0" fillId="0" borderId="4" xfId="2" applyNumberFormat="1" applyFont="1" applyBorder="1" applyAlignment="1" applyProtection="1">
      <alignment horizontal="right"/>
    </xf>
    <xf numFmtId="164" fontId="0" fillId="0" borderId="0" xfId="0" applyNumberFormat="1" applyFill="1" applyAlignment="1" applyProtection="1"/>
    <xf numFmtId="0" fontId="5" fillId="0" borderId="0" xfId="0" applyFont="1" applyFill="1" applyBorder="1" applyAlignment="1" applyProtection="1">
      <alignment horizontal="center" vertical="center"/>
    </xf>
    <xf numFmtId="0" fontId="3" fillId="0" borderId="0" xfId="0" applyFont="1" applyFill="1" applyBorder="1" applyAlignment="1" applyProtection="1">
      <alignment horizontal="center" vertical="center" wrapText="1"/>
    </xf>
    <xf numFmtId="0" fontId="25" fillId="2" borderId="0" xfId="0" applyFont="1" applyFill="1" applyProtection="1"/>
    <xf numFmtId="0" fontId="27" fillId="2" borderId="0" xfId="0" applyFont="1" applyFill="1" applyAlignment="1" applyProtection="1">
      <alignment horizontal="center" wrapText="1"/>
    </xf>
    <xf numFmtId="0" fontId="10" fillId="0" borderId="0" xfId="0" applyFont="1" applyBorder="1" applyAlignment="1" applyProtection="1">
      <alignment horizontal="left"/>
    </xf>
    <xf numFmtId="167" fontId="0" fillId="0" borderId="0" xfId="2" applyNumberFormat="1" applyFont="1" applyFill="1" applyBorder="1" applyAlignment="1" applyProtection="1">
      <alignment horizontal="right"/>
    </xf>
    <xf numFmtId="167" fontId="0" fillId="0" borderId="0" xfId="0" applyNumberFormat="1" applyAlignment="1" applyProtection="1"/>
    <xf numFmtId="167" fontId="0" fillId="0" borderId="0" xfId="0" applyNumberFormat="1" applyBorder="1" applyAlignment="1" applyProtection="1"/>
    <xf numFmtId="167" fontId="0" fillId="0" borderId="0" xfId="2" applyNumberFormat="1" applyFont="1" applyAlignment="1" applyProtection="1">
      <alignment horizontal="right"/>
    </xf>
    <xf numFmtId="167" fontId="7" fillId="0" borderId="0" xfId="0" applyNumberFormat="1" applyFont="1" applyAlignment="1" applyProtection="1">
      <alignment horizontal="right"/>
    </xf>
    <xf numFmtId="0" fontId="13" fillId="2" borderId="0" xfId="0" applyFont="1" applyFill="1" applyAlignment="1" applyProtection="1">
      <alignment horizontal="left" vertical="top" wrapText="1" indent="8"/>
    </xf>
    <xf numFmtId="0" fontId="14" fillId="2" borderId="0" xfId="0" applyFont="1" applyFill="1" applyBorder="1" applyAlignment="1" applyProtection="1">
      <alignment horizontal="left" indent="8"/>
    </xf>
    <xf numFmtId="164" fontId="0" fillId="0" borderId="0" xfId="2" applyNumberFormat="1" applyFont="1" applyFill="1" applyBorder="1" applyProtection="1"/>
    <xf numFmtId="49" fontId="10" fillId="0" borderId="0" xfId="0" applyNumberFormat="1" applyFont="1" applyBorder="1" applyAlignment="1" applyProtection="1">
      <alignment horizontal="left"/>
    </xf>
    <xf numFmtId="167" fontId="0" fillId="0" borderId="0" xfId="0" applyNumberFormat="1" applyBorder="1" applyAlignment="1" applyProtection="1">
      <alignment horizontal="center"/>
    </xf>
    <xf numFmtId="167" fontId="0" fillId="0" borderId="0" xfId="0" applyNumberFormat="1" applyBorder="1" applyAlignment="1" applyProtection="1">
      <alignment horizontal="right"/>
    </xf>
    <xf numFmtId="167" fontId="0" fillId="0" borderId="0" xfId="0" applyNumberFormat="1" applyFill="1" applyBorder="1" applyAlignment="1" applyProtection="1">
      <alignment horizontal="right"/>
    </xf>
    <xf numFmtId="167" fontId="0" fillId="0" borderId="0" xfId="0" applyNumberFormat="1" applyFill="1" applyBorder="1" applyProtection="1"/>
    <xf numFmtId="10" fontId="0" fillId="0" borderId="0" xfId="0" applyNumberFormat="1" applyBorder="1" applyProtection="1"/>
    <xf numFmtId="164" fontId="0" fillId="0" borderId="0" xfId="0" applyNumberFormat="1" applyFill="1" applyBorder="1" applyAlignment="1" applyProtection="1">
      <alignment horizontal="right"/>
    </xf>
    <xf numFmtId="0" fontId="9" fillId="0" borderId="0" xfId="0" applyFont="1" applyFill="1" applyBorder="1" applyProtection="1"/>
    <xf numFmtId="9" fontId="0" fillId="0" borderId="0" xfId="5" applyFont="1" applyFill="1" applyBorder="1" applyAlignment="1" applyProtection="1">
      <alignment horizontal="right"/>
    </xf>
    <xf numFmtId="0" fontId="3" fillId="0" borderId="0" xfId="0" applyFont="1" applyAlignment="1" applyProtection="1">
      <alignment wrapText="1"/>
    </xf>
    <xf numFmtId="0" fontId="1" fillId="0" borderId="0" xfId="0" applyFont="1" applyFill="1" applyAlignment="1" applyProtection="1">
      <alignment wrapText="1"/>
    </xf>
    <xf numFmtId="0" fontId="12" fillId="0" borderId="0" xfId="0" quotePrefix="1" applyFont="1" applyProtection="1"/>
    <xf numFmtId="0" fontId="3" fillId="0" borderId="0" xfId="0" applyFont="1" applyFill="1" applyBorder="1" applyAlignment="1" applyProtection="1">
      <alignment horizontal="center" wrapText="1"/>
    </xf>
    <xf numFmtId="0" fontId="0" fillId="0" borderId="0" xfId="0" quotePrefix="1" applyBorder="1" applyAlignment="1" applyProtection="1">
      <alignment horizontal="center"/>
    </xf>
    <xf numFmtId="0" fontId="3" fillId="0" borderId="0" xfId="0" applyFont="1" applyAlignment="1" applyProtection="1">
      <alignment vertical="top"/>
    </xf>
    <xf numFmtId="165" fontId="0" fillId="0" borderId="0" xfId="5" applyNumberFormat="1" applyFont="1" applyFill="1" applyBorder="1" applyProtection="1"/>
    <xf numFmtId="165" fontId="0" fillId="0" borderId="6" xfId="5" applyNumberFormat="1" applyFont="1" applyFill="1" applyBorder="1" applyProtection="1"/>
    <xf numFmtId="0" fontId="28" fillId="0" borderId="0" xfId="0" applyFont="1" applyProtection="1"/>
    <xf numFmtId="167" fontId="0" fillId="0" borderId="0" xfId="2" applyNumberFormat="1" applyFont="1" applyAlignment="1" applyProtection="1"/>
    <xf numFmtId="0" fontId="28" fillId="0" borderId="0" xfId="0" applyFont="1" applyFill="1" applyProtection="1"/>
    <xf numFmtId="0" fontId="0" fillId="0" borderId="0" xfId="0" applyFill="1" applyAlignment="1" applyProtection="1">
      <alignment wrapText="1"/>
    </xf>
    <xf numFmtId="10" fontId="0" fillId="0" borderId="4" xfId="0" applyNumberFormat="1" applyBorder="1" applyProtection="1"/>
    <xf numFmtId="10" fontId="0" fillId="0" borderId="0" xfId="5" applyNumberFormat="1" applyFont="1" applyFill="1" applyProtection="1"/>
    <xf numFmtId="168" fontId="0" fillId="0" borderId="0" xfId="0" applyNumberFormat="1" applyFill="1" applyProtection="1"/>
    <xf numFmtId="168" fontId="3" fillId="0" borderId="0" xfId="0" quotePrefix="1" applyNumberFormat="1" applyFont="1" applyFill="1" applyProtection="1"/>
    <xf numFmtId="165" fontId="0" fillId="0" borderId="0" xfId="0" applyNumberFormat="1" applyFill="1" applyProtection="1"/>
    <xf numFmtId="10" fontId="0" fillId="0" borderId="0" xfId="0" applyNumberFormat="1" applyFill="1" applyProtection="1"/>
    <xf numFmtId="0" fontId="0" fillId="0" borderId="0" xfId="0" applyFill="1" applyAlignment="1" applyProtection="1">
      <alignment horizontal="left"/>
    </xf>
    <xf numFmtId="0" fontId="3" fillId="0" borderId="0" xfId="0" quotePrefix="1" applyFont="1" applyFill="1" applyProtection="1"/>
    <xf numFmtId="168" fontId="0" fillId="0" borderId="0" xfId="0" applyNumberFormat="1" applyFill="1" applyBorder="1" applyProtection="1"/>
    <xf numFmtId="164" fontId="7" fillId="2" borderId="0" xfId="0" applyNumberFormat="1" applyFont="1" applyFill="1" applyBorder="1" applyAlignment="1" applyProtection="1">
      <alignment horizontal="center" vertical="center"/>
    </xf>
    <xf numFmtId="164" fontId="7" fillId="2" borderId="0" xfId="0" applyNumberFormat="1" applyFont="1" applyFill="1" applyProtection="1"/>
    <xf numFmtId="164" fontId="7" fillId="0" borderId="0" xfId="0" applyNumberFormat="1" applyFont="1" applyBorder="1" applyProtection="1"/>
    <xf numFmtId="164" fontId="7" fillId="0" borderId="0" xfId="0" applyNumberFormat="1" applyFont="1" applyFill="1" applyBorder="1" applyProtection="1"/>
    <xf numFmtId="164" fontId="7" fillId="2" borderId="0" xfId="0" applyNumberFormat="1" applyFont="1" applyFill="1" applyBorder="1" applyAlignment="1" applyProtection="1">
      <alignment horizontal="right"/>
    </xf>
    <xf numFmtId="164" fontId="7" fillId="2" borderId="0" xfId="0" applyNumberFormat="1" applyFont="1" applyFill="1" applyBorder="1" applyAlignment="1" applyProtection="1"/>
    <xf numFmtId="164" fontId="7" fillId="2" borderId="0" xfId="0" applyNumberFormat="1" applyFont="1" applyFill="1" applyBorder="1" applyProtection="1"/>
    <xf numFmtId="164" fontId="7" fillId="0" borderId="0" xfId="0" applyNumberFormat="1" applyFont="1" applyFill="1" applyBorder="1" applyAlignment="1" applyProtection="1">
      <alignment horizontal="right"/>
    </xf>
    <xf numFmtId="164" fontId="3" fillId="2" borderId="0" xfId="0" quotePrefix="1" applyNumberFormat="1" applyFont="1" applyFill="1" applyBorder="1" applyAlignment="1" applyProtection="1">
      <alignment horizontal="right"/>
    </xf>
    <xf numFmtId="0" fontId="3" fillId="2" borderId="0" xfId="0" quotePrefix="1" applyFont="1" applyFill="1" applyProtection="1"/>
    <xf numFmtId="0" fontId="0" fillId="0" borderId="0" xfId="0" applyAlignment="1" applyProtection="1">
      <alignment vertical="top"/>
    </xf>
    <xf numFmtId="0" fontId="0" fillId="0" borderId="0" xfId="0" applyFill="1" applyAlignment="1" applyProtection="1">
      <alignment vertical="top"/>
    </xf>
    <xf numFmtId="0" fontId="0" fillId="0" borderId="1" xfId="0" applyBorder="1" applyAlignment="1" applyProtection="1">
      <alignment vertical="top"/>
    </xf>
    <xf numFmtId="0" fontId="0" fillId="0" borderId="0" xfId="0" applyAlignment="1" applyProtection="1">
      <alignment vertical="center"/>
    </xf>
    <xf numFmtId="0" fontId="0" fillId="0" borderId="0" xfId="0" applyFill="1" applyAlignment="1" applyProtection="1">
      <alignment vertical="center"/>
    </xf>
    <xf numFmtId="0" fontId="3" fillId="0" borderId="0" xfId="0" applyFont="1" applyFill="1" applyAlignment="1" applyProtection="1">
      <alignment vertical="top"/>
    </xf>
    <xf numFmtId="10" fontId="0" fillId="0" borderId="1" xfId="5" applyNumberFormat="1" applyFont="1" applyBorder="1" applyAlignment="1" applyProtection="1">
      <alignment vertical="top"/>
    </xf>
    <xf numFmtId="0" fontId="0" fillId="0" borderId="5" xfId="0" applyBorder="1" applyAlignment="1" applyProtection="1">
      <alignment vertical="top"/>
    </xf>
    <xf numFmtId="0" fontId="3" fillId="0" borderId="0" xfId="0" applyFont="1" applyBorder="1" applyAlignment="1" applyProtection="1">
      <alignment vertical="top"/>
    </xf>
    <xf numFmtId="167" fontId="0" fillId="0" borderId="1" xfId="2" applyNumberFormat="1" applyFont="1" applyBorder="1" applyAlignment="1" applyProtection="1">
      <alignment vertical="top"/>
    </xf>
    <xf numFmtId="167" fontId="0" fillId="0" borderId="5" xfId="2" applyNumberFormat="1" applyFont="1" applyBorder="1" applyAlignment="1" applyProtection="1">
      <alignment vertical="top"/>
    </xf>
    <xf numFmtId="167" fontId="0" fillId="0" borderId="7" xfId="2" applyNumberFormat="1" applyFont="1" applyBorder="1" applyAlignment="1" applyProtection="1">
      <alignment vertical="top"/>
    </xf>
    <xf numFmtId="167" fontId="0" fillId="0" borderId="8" xfId="2" applyNumberFormat="1" applyFont="1" applyBorder="1" applyAlignment="1" applyProtection="1">
      <alignment vertical="top"/>
    </xf>
    <xf numFmtId="167" fontId="0" fillId="0" borderId="11" xfId="2" applyNumberFormat="1" applyFont="1" applyBorder="1" applyAlignment="1" applyProtection="1">
      <alignment vertical="top"/>
    </xf>
    <xf numFmtId="167" fontId="0" fillId="0" borderId="12" xfId="2" applyNumberFormat="1" applyFont="1" applyBorder="1" applyAlignment="1" applyProtection="1">
      <alignment vertical="top"/>
    </xf>
    <xf numFmtId="167" fontId="0" fillId="0" borderId="11" xfId="0" applyNumberFormat="1" applyBorder="1" applyAlignment="1" applyProtection="1">
      <alignment vertical="top"/>
    </xf>
    <xf numFmtId="167" fontId="0" fillId="0" borderId="5" xfId="0" applyNumberFormat="1" applyBorder="1" applyAlignment="1" applyProtection="1">
      <alignment vertical="top"/>
    </xf>
    <xf numFmtId="167" fontId="0" fillId="0" borderId="1" xfId="0" applyNumberFormat="1" applyBorder="1" applyAlignment="1" applyProtection="1">
      <alignment vertical="top"/>
    </xf>
    <xf numFmtId="10" fontId="0" fillId="0" borderId="5" xfId="5" applyNumberFormat="1" applyFont="1" applyBorder="1" applyAlignment="1" applyProtection="1">
      <alignment vertical="top"/>
    </xf>
    <xf numFmtId="10" fontId="3" fillId="0" borderId="0" xfId="0" applyNumberFormat="1" applyFont="1" applyBorder="1" applyAlignment="1" applyProtection="1">
      <alignment vertical="top"/>
    </xf>
    <xf numFmtId="10" fontId="0" fillId="0" borderId="0" xfId="0" applyNumberFormat="1" applyAlignment="1" applyProtection="1">
      <alignment vertical="top"/>
    </xf>
    <xf numFmtId="167" fontId="1" fillId="0" borderId="5" xfId="2" applyNumberFormat="1" applyFont="1" applyFill="1" applyBorder="1" applyAlignment="1" applyProtection="1">
      <alignment vertical="top"/>
    </xf>
    <xf numFmtId="0" fontId="3" fillId="0" borderId="0" xfId="0" applyFont="1" applyFill="1" applyBorder="1" applyAlignment="1" applyProtection="1">
      <alignment vertical="top"/>
    </xf>
    <xf numFmtId="167" fontId="1" fillId="0" borderId="1" xfId="0" applyNumberFormat="1" applyFont="1" applyFill="1" applyBorder="1" applyAlignment="1" applyProtection="1">
      <alignment vertical="top"/>
    </xf>
    <xf numFmtId="166" fontId="1" fillId="0" borderId="5" xfId="2" applyNumberFormat="1" applyFont="1" applyFill="1" applyBorder="1" applyAlignment="1" applyProtection="1">
      <alignment vertical="top"/>
    </xf>
    <xf numFmtId="166" fontId="1" fillId="0" borderId="1" xfId="0" applyNumberFormat="1" applyFont="1" applyFill="1" applyBorder="1" applyAlignment="1" applyProtection="1">
      <alignment vertical="top"/>
    </xf>
    <xf numFmtId="10" fontId="0" fillId="0" borderId="7" xfId="5" applyNumberFormat="1" applyFont="1" applyBorder="1" applyAlignment="1" applyProtection="1">
      <alignment vertical="top"/>
    </xf>
    <xf numFmtId="10" fontId="0" fillId="0" borderId="8" xfId="5" applyNumberFormat="1" applyFont="1" applyBorder="1" applyAlignment="1" applyProtection="1">
      <alignment vertical="top"/>
    </xf>
    <xf numFmtId="10" fontId="0" fillId="0" borderId="7" xfId="0" applyNumberFormat="1" applyBorder="1" applyAlignment="1" applyProtection="1">
      <alignment vertical="top"/>
    </xf>
    <xf numFmtId="10" fontId="0" fillId="0" borderId="5" xfId="0" applyNumberFormat="1" applyBorder="1" applyAlignment="1" applyProtection="1">
      <alignment vertical="top"/>
    </xf>
    <xf numFmtId="10" fontId="0" fillId="0" borderId="8" xfId="0" applyNumberFormat="1" applyBorder="1" applyAlignment="1" applyProtection="1">
      <alignment vertical="top"/>
    </xf>
    <xf numFmtId="10" fontId="0" fillId="0" borderId="1" xfId="0" applyNumberFormat="1" applyBorder="1" applyAlignment="1" applyProtection="1">
      <alignment vertical="top"/>
    </xf>
    <xf numFmtId="164" fontId="3" fillId="0" borderId="0" xfId="0" applyNumberFormat="1" applyFont="1" applyBorder="1" applyAlignment="1" applyProtection="1">
      <alignment vertical="top"/>
    </xf>
    <xf numFmtId="164" fontId="0" fillId="0" borderId="0" xfId="0" applyNumberFormat="1" applyAlignment="1" applyProtection="1">
      <alignment vertical="top"/>
    </xf>
    <xf numFmtId="164" fontId="3" fillId="0" borderId="2" xfId="0" quotePrefix="1" applyNumberFormat="1" applyFont="1" applyBorder="1" applyAlignment="1" applyProtection="1">
      <alignment vertical="top"/>
    </xf>
    <xf numFmtId="164" fontId="0" fillId="0" borderId="8" xfId="0" applyNumberFormat="1" applyBorder="1" applyAlignment="1" applyProtection="1">
      <alignment vertical="top"/>
    </xf>
    <xf numFmtId="167" fontId="0" fillId="0" borderId="0" xfId="2" applyNumberFormat="1" applyFont="1" applyFill="1" applyAlignment="1" applyProtection="1">
      <alignment vertical="top"/>
    </xf>
    <xf numFmtId="166" fontId="0" fillId="0" borderId="0" xfId="2" applyNumberFormat="1" applyFont="1" applyFill="1" applyBorder="1" applyAlignment="1" applyProtection="1">
      <alignment vertical="top"/>
    </xf>
    <xf numFmtId="164" fontId="0" fillId="0" borderId="0" xfId="2" applyNumberFormat="1" applyFont="1" applyFill="1" applyAlignment="1" applyProtection="1">
      <alignment vertical="top"/>
    </xf>
    <xf numFmtId="166" fontId="0" fillId="0" borderId="0" xfId="2" applyNumberFormat="1" applyFont="1" applyFill="1" applyAlignment="1" applyProtection="1">
      <alignment vertical="top"/>
    </xf>
    <xf numFmtId="164" fontId="0" fillId="0" borderId="0" xfId="0" applyNumberFormat="1" applyFill="1" applyAlignment="1" applyProtection="1">
      <alignment vertical="top"/>
    </xf>
    <xf numFmtId="166" fontId="0" fillId="0" borderId="0" xfId="2" applyNumberFormat="1" applyFont="1" applyAlignment="1" applyProtection="1">
      <alignment vertical="top"/>
    </xf>
    <xf numFmtId="10" fontId="0" fillId="0" borderId="0" xfId="5" applyNumberFormat="1" applyFont="1" applyFill="1" applyAlignment="1" applyProtection="1">
      <alignment vertical="top"/>
    </xf>
    <xf numFmtId="168" fontId="0" fillId="0" borderId="0" xfId="0" applyNumberFormat="1" applyFill="1" applyAlignment="1" applyProtection="1">
      <alignment vertical="top"/>
    </xf>
    <xf numFmtId="0" fontId="0" fillId="0" borderId="0" xfId="0" applyFill="1" applyBorder="1" applyAlignment="1" applyProtection="1">
      <alignment vertical="top"/>
    </xf>
    <xf numFmtId="164" fontId="0" fillId="0" borderId="0" xfId="0" applyNumberFormat="1" applyFill="1" applyBorder="1" applyAlignment="1" applyProtection="1">
      <alignment vertical="top"/>
    </xf>
    <xf numFmtId="168" fontId="3" fillId="0" borderId="0" xfId="0" quotePrefix="1" applyNumberFormat="1" applyFont="1" applyFill="1" applyAlignment="1" applyProtection="1">
      <alignment vertical="top"/>
    </xf>
    <xf numFmtId="165" fontId="0" fillId="0" borderId="0" xfId="0" applyNumberFormat="1" applyFill="1" applyAlignment="1" applyProtection="1">
      <alignment vertical="top"/>
    </xf>
    <xf numFmtId="165" fontId="0" fillId="0" borderId="13" xfId="0" applyNumberFormat="1" applyFill="1" applyBorder="1" applyAlignment="1" applyProtection="1">
      <alignment vertical="top"/>
    </xf>
    <xf numFmtId="9" fontId="11" fillId="0" borderId="0" xfId="5" applyFont="1" applyFill="1" applyAlignment="1" applyProtection="1">
      <alignment vertical="top" wrapText="1"/>
    </xf>
    <xf numFmtId="9" fontId="0" fillId="0" borderId="0" xfId="5" applyFont="1" applyFill="1" applyAlignment="1" applyProtection="1">
      <alignment vertical="top"/>
    </xf>
    <xf numFmtId="10" fontId="0" fillId="0" borderId="0" xfId="0" applyNumberFormat="1" applyFill="1" applyAlignment="1" applyProtection="1">
      <alignment vertical="top"/>
    </xf>
    <xf numFmtId="167" fontId="0" fillId="0" borderId="2" xfId="2" applyNumberFormat="1" applyFont="1" applyFill="1" applyBorder="1" applyAlignment="1" applyProtection="1">
      <alignment vertical="top"/>
    </xf>
    <xf numFmtId="167" fontId="0" fillId="0" borderId="0" xfId="2" applyNumberFormat="1" applyFont="1" applyFill="1" applyBorder="1" applyAlignment="1" applyProtection="1">
      <alignment vertical="top"/>
    </xf>
    <xf numFmtId="167" fontId="0" fillId="0" borderId="0" xfId="2" applyNumberFormat="1" applyFont="1" applyBorder="1" applyAlignment="1" applyProtection="1">
      <alignment vertical="top"/>
    </xf>
    <xf numFmtId="164" fontId="0" fillId="0" borderId="0" xfId="2" applyNumberFormat="1" applyFont="1" applyAlignment="1" applyProtection="1">
      <alignment vertical="top"/>
    </xf>
    <xf numFmtId="167" fontId="0" fillId="0" borderId="0" xfId="2" applyNumberFormat="1" applyFont="1" applyAlignment="1" applyProtection="1">
      <alignment vertical="top"/>
    </xf>
    <xf numFmtId="167" fontId="0" fillId="0" borderId="0" xfId="2" applyNumberFormat="1" applyFont="1" applyBorder="1" applyAlignment="1" applyProtection="1">
      <alignment horizontal="right" vertical="top"/>
    </xf>
    <xf numFmtId="167" fontId="0" fillId="0" borderId="2" xfId="2" applyNumberFormat="1" applyFont="1" applyBorder="1" applyAlignment="1" applyProtection="1">
      <alignment horizontal="right" vertical="top"/>
    </xf>
    <xf numFmtId="164" fontId="0" fillId="0" borderId="0" xfId="0" applyNumberFormat="1" applyBorder="1" applyAlignment="1" applyProtection="1">
      <alignment vertical="top"/>
    </xf>
    <xf numFmtId="167" fontId="0" fillId="0" borderId="0" xfId="0" applyNumberFormat="1" applyAlignment="1" applyProtection="1">
      <alignment vertical="top"/>
    </xf>
    <xf numFmtId="167" fontId="0" fillId="0" borderId="4" xfId="0" applyNumberFormat="1" applyFill="1" applyBorder="1" applyAlignment="1" applyProtection="1">
      <alignment vertical="top"/>
    </xf>
    <xf numFmtId="167" fontId="0" fillId="0" borderId="0" xfId="0" applyNumberFormat="1" applyFill="1" applyBorder="1" applyAlignment="1" applyProtection="1">
      <alignment vertical="top"/>
    </xf>
    <xf numFmtId="167" fontId="8" fillId="0" borderId="0" xfId="0" applyNumberFormat="1" applyFont="1" applyAlignment="1" applyProtection="1">
      <alignment vertical="top"/>
    </xf>
    <xf numFmtId="164" fontId="8" fillId="0" borderId="0" xfId="0" applyNumberFormat="1" applyFont="1" applyBorder="1" applyAlignment="1" applyProtection="1">
      <alignment vertical="top"/>
    </xf>
    <xf numFmtId="167" fontId="1" fillId="0" borderId="0" xfId="0" applyNumberFormat="1" applyFont="1" applyFill="1" applyAlignment="1" applyProtection="1">
      <alignment vertical="top"/>
    </xf>
    <xf numFmtId="164" fontId="0" fillId="0" borderId="0" xfId="0" applyNumberFormat="1" applyBorder="1" applyAlignment="1" applyProtection="1">
      <alignment horizontal="right" vertical="top"/>
    </xf>
    <xf numFmtId="164" fontId="0" fillId="0" borderId="0" xfId="0" applyNumberFormat="1" applyFill="1" applyBorder="1" applyAlignment="1" applyProtection="1">
      <alignment horizontal="right" vertical="top"/>
    </xf>
    <xf numFmtId="167" fontId="0" fillId="0" borderId="0" xfId="2" applyNumberFormat="1" applyFont="1" applyBorder="1" applyAlignment="1" applyProtection="1">
      <alignment horizontal="center" vertical="top"/>
    </xf>
    <xf numFmtId="167" fontId="0" fillId="0" borderId="4" xfId="2" applyNumberFormat="1" applyFont="1" applyBorder="1" applyAlignment="1" applyProtection="1">
      <alignment horizontal="right" vertical="top"/>
    </xf>
    <xf numFmtId="168" fontId="0" fillId="0" borderId="0" xfId="0" applyNumberFormat="1" applyFill="1" applyAlignment="1" applyProtection="1">
      <alignment vertical="top"/>
      <protection locked="0"/>
    </xf>
    <xf numFmtId="164" fontId="0" fillId="0" borderId="0" xfId="2" applyNumberFormat="1" applyFont="1" applyAlignment="1" applyProtection="1"/>
    <xf numFmtId="164" fontId="0" fillId="0" borderId="0" xfId="2" applyNumberFormat="1" applyFont="1" applyFill="1" applyAlignment="1" applyProtection="1"/>
    <xf numFmtId="0" fontId="26" fillId="0" borderId="0" xfId="4" applyFont="1" applyFill="1" applyBorder="1"/>
    <xf numFmtId="0" fontId="14" fillId="0" borderId="0" xfId="0" applyFont="1" applyFill="1" applyBorder="1" applyAlignment="1" applyProtection="1">
      <alignment horizontal="left"/>
    </xf>
    <xf numFmtId="0" fontId="3" fillId="0" borderId="0" xfId="0" quotePrefix="1" applyFont="1" applyFill="1" applyBorder="1" applyAlignment="1" applyProtection="1">
      <alignment vertical="top"/>
    </xf>
    <xf numFmtId="0" fontId="14" fillId="0" borderId="0" xfId="0" applyFont="1" applyFill="1" applyBorder="1" applyAlignment="1" applyProtection="1">
      <alignment horizontal="left" indent="1"/>
    </xf>
    <xf numFmtId="0" fontId="15" fillId="0" borderId="0" xfId="0" quotePrefix="1" applyFont="1" applyFill="1" applyBorder="1" applyProtection="1"/>
    <xf numFmtId="0" fontId="14" fillId="0" borderId="0" xfId="0" applyFont="1" applyFill="1" applyBorder="1" applyProtection="1"/>
    <xf numFmtId="0" fontId="27" fillId="0" borderId="0" xfId="0" applyFont="1" applyFill="1" applyBorder="1" applyProtection="1"/>
    <xf numFmtId="2" fontId="27" fillId="0" borderId="0" xfId="0" applyNumberFormat="1" applyFont="1" applyFill="1" applyBorder="1" applyAlignment="1" applyProtection="1">
      <alignment horizontal="left" indent="1"/>
    </xf>
    <xf numFmtId="0" fontId="13" fillId="0" borderId="0" xfId="0" applyFont="1" applyFill="1" applyBorder="1" applyAlignment="1" applyProtection="1">
      <alignment vertical="top" wrapText="1"/>
    </xf>
    <xf numFmtId="0" fontId="14" fillId="0" borderId="0" xfId="0" applyFont="1" applyFill="1" applyBorder="1" applyAlignment="1" applyProtection="1">
      <alignment horizontal="left" indent="1"/>
      <protection locked="0"/>
    </xf>
    <xf numFmtId="0" fontId="0" fillId="0" borderId="0" xfId="0" applyAlignment="1" applyProtection="1">
      <alignment horizontal="left"/>
      <protection locked="0"/>
    </xf>
    <xf numFmtId="0" fontId="0" fillId="0" borderId="0" xfId="0" applyAlignment="1" applyProtection="1">
      <alignment horizontal="center"/>
      <protection locked="0"/>
    </xf>
    <xf numFmtId="0" fontId="29" fillId="0" borderId="0" xfId="0" applyFont="1" applyProtection="1"/>
    <xf numFmtId="0" fontId="3" fillId="0" borderId="0" xfId="0" applyFont="1" applyAlignment="1" applyProtection="1">
      <alignment horizontal="left"/>
      <protection locked="0"/>
    </xf>
    <xf numFmtId="0" fontId="3" fillId="0" borderId="0" xfId="0" applyFont="1" applyAlignment="1" applyProtection="1">
      <alignment horizontal="center"/>
      <protection locked="0"/>
    </xf>
    <xf numFmtId="22" fontId="0" fillId="0" borderId="0" xfId="0" applyNumberFormat="1" applyAlignment="1" applyProtection="1">
      <alignment horizontal="left"/>
      <protection locked="0"/>
    </xf>
    <xf numFmtId="0" fontId="1" fillId="0" borderId="0" xfId="1" applyNumberFormat="1" applyFont="1" applyAlignment="1" applyProtection="1">
      <alignment horizontal="center"/>
      <protection locked="0"/>
    </xf>
    <xf numFmtId="22" fontId="0" fillId="0" borderId="0" xfId="0" applyNumberFormat="1" applyAlignment="1" applyProtection="1">
      <alignment horizontal="center"/>
      <protection locked="0"/>
    </xf>
    <xf numFmtId="0" fontId="24" fillId="2" borderId="0" xfId="0" applyNumberFormat="1" applyFont="1" applyFill="1" applyAlignment="1" applyProtection="1">
      <alignment vertical="top" wrapText="1"/>
    </xf>
    <xf numFmtId="0" fontId="17" fillId="2" borderId="0" xfId="0" applyNumberFormat="1" applyFont="1" applyFill="1" applyBorder="1" applyAlignment="1" applyProtection="1">
      <alignment horizontal="center"/>
    </xf>
    <xf numFmtId="0" fontId="21" fillId="2" borderId="0" xfId="0" applyFont="1" applyFill="1" applyBorder="1" applyAlignment="1" applyProtection="1">
      <alignment vertical="center" wrapText="1"/>
    </xf>
    <xf numFmtId="0" fontId="18" fillId="2" borderId="0" xfId="0" applyFont="1" applyFill="1" applyBorder="1" applyProtection="1"/>
    <xf numFmtId="0" fontId="35" fillId="2" borderId="0" xfId="0" applyFont="1" applyFill="1" applyBorder="1" applyProtection="1"/>
    <xf numFmtId="0" fontId="34" fillId="2" borderId="0" xfId="0" applyFont="1" applyFill="1" applyBorder="1" applyAlignment="1" applyProtection="1">
      <alignment horizontal="left"/>
      <protection locked="0"/>
    </xf>
    <xf numFmtId="0" fontId="34" fillId="2" borderId="0" xfId="0" applyFont="1" applyFill="1" applyBorder="1" applyProtection="1"/>
    <xf numFmtId="0" fontId="34" fillId="2" borderId="0" xfId="0" applyFont="1" applyFill="1" applyBorder="1" applyAlignment="1" applyProtection="1">
      <alignment horizontal="center"/>
    </xf>
    <xf numFmtId="0" fontId="18" fillId="2" borderId="0" xfId="0" applyFont="1" applyFill="1" applyBorder="1" applyAlignment="1" applyProtection="1"/>
    <xf numFmtId="0" fontId="18" fillId="2" borderId="0" xfId="0" applyFont="1" applyFill="1" applyBorder="1" applyAlignment="1" applyProtection="1">
      <alignment horizontal="left"/>
    </xf>
    <xf numFmtId="0" fontId="36" fillId="2" borderId="0" xfId="0" applyFont="1" applyFill="1" applyBorder="1" applyAlignment="1" applyProtection="1">
      <alignment horizontal="left" indent="7"/>
    </xf>
    <xf numFmtId="0" fontId="12" fillId="0" borderId="0" xfId="0" quotePrefix="1" applyFont="1" applyBorder="1" applyAlignment="1" applyProtection="1"/>
    <xf numFmtId="0" fontId="3" fillId="0" borderId="2" xfId="0" applyFont="1" applyFill="1" applyBorder="1" applyAlignment="1" applyProtection="1">
      <alignment horizontal="center" vertical="center" wrapText="1"/>
    </xf>
    <xf numFmtId="0" fontId="17" fillId="0" borderId="0" xfId="0" applyFont="1" applyAlignment="1" applyProtection="1">
      <alignment horizontal="center"/>
    </xf>
    <xf numFmtId="0" fontId="0" fillId="0" borderId="0" xfId="0" applyAlignment="1" applyProtection="1">
      <alignment horizontal="center"/>
    </xf>
    <xf numFmtId="0" fontId="3" fillId="0" borderId="0" xfId="0" quotePrefix="1" applyFont="1" applyAlignment="1" applyProtection="1">
      <alignment horizontal="center"/>
    </xf>
    <xf numFmtId="168" fontId="3" fillId="0" borderId="0" xfId="0" quotePrefix="1" applyNumberFormat="1" applyFont="1" applyFill="1" applyAlignment="1" applyProtection="1">
      <alignment horizontal="center" vertical="top" wrapText="1"/>
    </xf>
    <xf numFmtId="0" fontId="0" fillId="0" borderId="0" xfId="0" applyFill="1" applyBorder="1" applyAlignment="1" applyProtection="1">
      <alignment horizontal="center"/>
    </xf>
    <xf numFmtId="0" fontId="0" fillId="0" borderId="0" xfId="0" applyFill="1" applyAlignment="1" applyProtection="1"/>
    <xf numFmtId="0" fontId="3" fillId="2" borderId="2" xfId="0" applyFont="1" applyFill="1" applyBorder="1" applyAlignment="1" applyProtection="1">
      <alignment horizontal="center" vertical="center"/>
    </xf>
    <xf numFmtId="0" fontId="3" fillId="2" borderId="0" xfId="0" applyFont="1" applyFill="1" applyBorder="1" applyAlignment="1" applyProtection="1">
      <alignment horizontal="center" vertical="center"/>
    </xf>
    <xf numFmtId="0" fontId="3" fillId="2" borderId="2" xfId="0" applyFont="1" applyFill="1" applyBorder="1" applyAlignment="1" applyProtection="1">
      <alignment horizontal="center" vertical="center" wrapText="1"/>
    </xf>
    <xf numFmtId="0" fontId="5" fillId="2" borderId="0" xfId="0" applyFont="1" applyFill="1" applyAlignment="1" applyProtection="1">
      <alignment horizontal="center"/>
    </xf>
    <xf numFmtId="0" fontId="5" fillId="2" borderId="0" xfId="0" applyFont="1" applyFill="1" applyAlignment="1" applyProtection="1"/>
    <xf numFmtId="0" fontId="0" fillId="2" borderId="3" xfId="0" applyFill="1" applyBorder="1" applyProtection="1"/>
    <xf numFmtId="0" fontId="0" fillId="2" borderId="0" xfId="0" applyFill="1" applyProtection="1"/>
    <xf numFmtId="0" fontId="19" fillId="0" borderId="0" xfId="0" applyFont="1" applyBorder="1" applyProtection="1"/>
    <xf numFmtId="0" fontId="23" fillId="0" borderId="0" xfId="0" applyFont="1" applyProtection="1"/>
    <xf numFmtId="0" fontId="23" fillId="0" borderId="0" xfId="0" applyFont="1" applyBorder="1" applyProtection="1"/>
    <xf numFmtId="167" fontId="23" fillId="0" borderId="2" xfId="2" applyNumberFormat="1" applyFont="1" applyFill="1" applyBorder="1" applyAlignment="1" applyProtection="1">
      <alignment vertical="top"/>
    </xf>
    <xf numFmtId="167" fontId="23" fillId="0" borderId="0" xfId="2" applyNumberFormat="1" applyFont="1" applyFill="1" applyBorder="1" applyAlignment="1" applyProtection="1">
      <alignment vertical="top"/>
    </xf>
    <xf numFmtId="167" fontId="23" fillId="0" borderId="0" xfId="2" quotePrefix="1" applyNumberFormat="1" applyFont="1" applyFill="1" applyBorder="1" applyAlignment="1" applyProtection="1">
      <alignment vertical="top"/>
    </xf>
    <xf numFmtId="168" fontId="23" fillId="0" borderId="0" xfId="0" applyNumberFormat="1" applyFont="1" applyFill="1" applyAlignment="1" applyProtection="1">
      <alignment vertical="top"/>
    </xf>
    <xf numFmtId="168" fontId="23" fillId="0" borderId="0" xfId="0" quotePrefix="1" applyNumberFormat="1" applyFont="1" applyFill="1" applyAlignment="1" applyProtection="1">
      <alignment vertical="top"/>
    </xf>
    <xf numFmtId="167" fontId="23" fillId="0" borderId="0" xfId="2" applyNumberFormat="1" applyFont="1" applyFill="1" applyBorder="1" applyProtection="1"/>
    <xf numFmtId="168" fontId="23" fillId="0" borderId="0" xfId="0" quotePrefix="1" applyNumberFormat="1" applyFont="1" applyFill="1" applyProtection="1"/>
    <xf numFmtId="0" fontId="22" fillId="0" borderId="0" xfId="0" quotePrefix="1" applyFont="1" applyFill="1" applyProtection="1"/>
    <xf numFmtId="0" fontId="23" fillId="0" borderId="0" xfId="0" applyFont="1" applyFill="1" applyProtection="1"/>
    <xf numFmtId="167" fontId="28" fillId="0" borderId="0" xfId="2" applyNumberFormat="1" applyFont="1" applyProtection="1"/>
    <xf numFmtId="168" fontId="28" fillId="0" borderId="0" xfId="0" applyNumberFormat="1" applyFont="1" applyFill="1" applyBorder="1" applyProtection="1">
      <protection locked="0"/>
    </xf>
    <xf numFmtId="164" fontId="28" fillId="2" borderId="0" xfId="0" applyNumberFormat="1" applyFont="1" applyFill="1" applyProtection="1"/>
    <xf numFmtId="167" fontId="28" fillId="0" borderId="0" xfId="2" applyNumberFormat="1" applyFont="1" applyAlignment="1" applyProtection="1"/>
    <xf numFmtId="167" fontId="28" fillId="0" borderId="0" xfId="0" applyNumberFormat="1" applyFont="1" applyAlignment="1" applyProtection="1"/>
    <xf numFmtId="0" fontId="28" fillId="0" borderId="0" xfId="0" applyFont="1" applyAlignment="1" applyProtection="1">
      <alignment horizontal="center"/>
    </xf>
    <xf numFmtId="164" fontId="28" fillId="0" borderId="0" xfId="2" applyNumberFormat="1" applyFont="1" applyFill="1" applyAlignment="1" applyProtection="1">
      <alignment vertical="top"/>
    </xf>
    <xf numFmtId="0" fontId="28" fillId="0" borderId="0" xfId="0" applyFont="1" applyFill="1" applyAlignment="1" applyProtection="1">
      <alignment vertical="top"/>
    </xf>
    <xf numFmtId="164" fontId="28" fillId="0" borderId="0" xfId="0" applyNumberFormat="1" applyFont="1" applyFill="1" applyAlignment="1" applyProtection="1">
      <alignment vertical="top"/>
    </xf>
    <xf numFmtId="0" fontId="28" fillId="0" borderId="0" xfId="0" applyFont="1" applyAlignment="1" applyProtection="1">
      <alignment vertical="top"/>
    </xf>
    <xf numFmtId="164" fontId="28" fillId="0" borderId="0" xfId="2" applyNumberFormat="1" applyFont="1" applyFill="1" applyProtection="1"/>
    <xf numFmtId="0" fontId="35" fillId="2" borderId="0" xfId="3" applyFont="1" applyFill="1" applyBorder="1" applyAlignment="1" applyProtection="1"/>
    <xf numFmtId="0" fontId="15" fillId="2" borderId="0" xfId="0" applyFont="1" applyFill="1" applyBorder="1" applyAlignment="1" applyProtection="1"/>
    <xf numFmtId="0" fontId="38" fillId="2" borderId="0" xfId="0" applyFont="1" applyFill="1" applyBorder="1" applyProtection="1"/>
    <xf numFmtId="0" fontId="39" fillId="2" borderId="0" xfId="0" applyFont="1" applyFill="1" applyBorder="1" applyProtection="1"/>
    <xf numFmtId="0" fontId="39" fillId="2" borderId="0" xfId="0" applyFont="1" applyFill="1" applyBorder="1" applyProtection="1">
      <protection locked="0"/>
    </xf>
    <xf numFmtId="0" fontId="40" fillId="2" borderId="0" xfId="0" applyFont="1" applyFill="1" applyBorder="1" applyAlignment="1" applyProtection="1">
      <protection locked="0"/>
    </xf>
    <xf numFmtId="0" fontId="40" fillId="2" borderId="0" xfId="0" applyFont="1" applyFill="1" applyBorder="1" applyAlignment="1" applyProtection="1">
      <alignment horizontal="left"/>
      <protection locked="0"/>
    </xf>
    <xf numFmtId="0" fontId="39" fillId="2" borderId="0" xfId="0" applyFont="1" applyFill="1" applyBorder="1" applyAlignment="1" applyProtection="1"/>
    <xf numFmtId="0" fontId="39" fillId="2" borderId="0" xfId="0" applyFont="1" applyFill="1" applyBorder="1" applyAlignment="1" applyProtection="1">
      <alignment horizontal="left"/>
    </xf>
    <xf numFmtId="0" fontId="40" fillId="2" borderId="0" xfId="0" applyFont="1" applyFill="1" applyBorder="1" applyProtection="1">
      <protection locked="0"/>
    </xf>
    <xf numFmtId="0" fontId="38" fillId="0" borderId="0" xfId="0" applyFont="1" applyProtection="1"/>
    <xf numFmtId="167" fontId="0" fillId="0" borderId="0" xfId="2" applyNumberFormat="1" applyFont="1" applyFill="1" applyAlignment="1" applyProtection="1">
      <alignment vertical="top"/>
      <protection locked="0"/>
    </xf>
    <xf numFmtId="168" fontId="0" fillId="0" borderId="0" xfId="0" applyNumberFormat="1" applyFill="1" applyProtection="1">
      <protection locked="0"/>
    </xf>
    <xf numFmtId="167" fontId="0" fillId="0" borderId="6" xfId="2" applyNumberFormat="1" applyFont="1" applyBorder="1" applyAlignment="1" applyProtection="1"/>
    <xf numFmtId="164" fontId="7" fillId="0" borderId="0" xfId="0" applyNumberFormat="1" applyFont="1" applyFill="1" applyBorder="1" applyAlignment="1" applyProtection="1"/>
    <xf numFmtId="0" fontId="3" fillId="0" borderId="0" xfId="0" applyFont="1" applyAlignment="1" applyProtection="1">
      <alignment horizontal="center" vertical="top"/>
    </xf>
    <xf numFmtId="168" fontId="0" fillId="0" borderId="14" xfId="0" applyNumberFormat="1" applyFill="1" applyBorder="1" applyAlignment="1" applyProtection="1">
      <protection locked="0"/>
    </xf>
    <xf numFmtId="168" fontId="0" fillId="0" borderId="0" xfId="0" applyNumberFormat="1" applyFill="1" applyBorder="1" applyProtection="1">
      <protection locked="0"/>
    </xf>
    <xf numFmtId="0" fontId="17" fillId="0" borderId="0" xfId="0" quotePrefix="1" applyFont="1" applyAlignment="1" applyProtection="1">
      <alignment wrapText="1"/>
    </xf>
    <xf numFmtId="10" fontId="0" fillId="0" borderId="0" xfId="0" applyNumberFormat="1" applyFill="1" applyAlignment="1" applyProtection="1">
      <alignment vertical="top"/>
      <protection locked="0"/>
    </xf>
    <xf numFmtId="167" fontId="0" fillId="4" borderId="0" xfId="2" applyNumberFormat="1" applyFont="1" applyFill="1" applyAlignment="1" applyProtection="1">
      <alignment vertical="top"/>
      <protection locked="0"/>
    </xf>
    <xf numFmtId="10" fontId="0" fillId="4" borderId="0" xfId="5" applyNumberFormat="1" applyFont="1" applyFill="1" applyAlignment="1" applyProtection="1">
      <alignment vertical="top"/>
      <protection locked="0"/>
    </xf>
    <xf numFmtId="165" fontId="0" fillId="4" borderId="0" xfId="0" applyNumberFormat="1" applyFill="1" applyAlignment="1" applyProtection="1">
      <alignment vertical="top"/>
      <protection locked="0"/>
    </xf>
    <xf numFmtId="165" fontId="0" fillId="4" borderId="0" xfId="0" applyNumberFormat="1" applyFill="1" applyBorder="1" applyAlignment="1" applyProtection="1">
      <alignment vertical="top"/>
      <protection locked="0"/>
    </xf>
    <xf numFmtId="10" fontId="0" fillId="4" borderId="0" xfId="0" applyNumberFormat="1" applyFill="1" applyAlignment="1" applyProtection="1">
      <alignment vertical="top"/>
      <protection locked="0"/>
    </xf>
    <xf numFmtId="0" fontId="3" fillId="4" borderId="0" xfId="0" quotePrefix="1" applyFont="1" applyFill="1" applyAlignment="1" applyProtection="1">
      <alignment vertical="top"/>
      <protection locked="0"/>
    </xf>
    <xf numFmtId="168" fontId="0" fillId="4" borderId="0" xfId="0" applyNumberFormat="1" applyFill="1" applyAlignment="1" applyProtection="1">
      <alignment vertical="top"/>
      <protection locked="0"/>
    </xf>
    <xf numFmtId="167" fontId="7" fillId="4" borderId="0" xfId="2" applyNumberFormat="1" applyFont="1" applyFill="1" applyAlignment="1" applyProtection="1">
      <alignment vertical="top"/>
      <protection locked="0"/>
    </xf>
    <xf numFmtId="168" fontId="0" fillId="4" borderId="0" xfId="0" applyNumberFormat="1" applyFill="1" applyProtection="1">
      <protection locked="0"/>
    </xf>
    <xf numFmtId="168" fontId="0" fillId="4" borderId="14" xfId="0" applyNumberFormat="1" applyFill="1" applyBorder="1" applyAlignment="1" applyProtection="1">
      <protection locked="0"/>
    </xf>
    <xf numFmtId="168" fontId="0" fillId="4" borderId="0" xfId="0" applyNumberFormat="1" applyFill="1" applyBorder="1" applyProtection="1">
      <protection locked="0"/>
    </xf>
    <xf numFmtId="0" fontId="3" fillId="4" borderId="0" xfId="0" applyFont="1" applyFill="1" applyAlignment="1" applyProtection="1">
      <alignment vertical="top"/>
    </xf>
    <xf numFmtId="0" fontId="0" fillId="4" borderId="0" xfId="0" applyFill="1" applyAlignment="1" applyProtection="1">
      <alignment wrapText="1"/>
      <protection locked="0"/>
    </xf>
    <xf numFmtId="0" fontId="3" fillId="4" borderId="0" xfId="0" applyFont="1" applyFill="1" applyProtection="1">
      <protection locked="0"/>
    </xf>
    <xf numFmtId="0" fontId="42" fillId="0" borderId="0" xfId="0" applyFont="1" applyProtection="1"/>
    <xf numFmtId="2" fontId="41" fillId="0" borderId="0" xfId="0" applyNumberFormat="1" applyFont="1" applyAlignment="1" applyProtection="1">
      <alignment horizontal="left"/>
    </xf>
    <xf numFmtId="0" fontId="29" fillId="0" borderId="0" xfId="0" applyFont="1" applyFill="1" applyBorder="1" applyProtection="1"/>
    <xf numFmtId="0" fontId="33" fillId="0" borderId="0" xfId="0" applyFont="1" applyFill="1" applyBorder="1" applyProtection="1"/>
    <xf numFmtId="0" fontId="43" fillId="0" borderId="0" xfId="0" applyFont="1" applyAlignment="1" applyProtection="1">
      <alignment horizontal="right" vertical="center"/>
    </xf>
    <xf numFmtId="0" fontId="0" fillId="0" borderId="0" xfId="0" applyAlignment="1" applyProtection="1">
      <alignment horizontal="right" vertical="center"/>
    </xf>
    <xf numFmtId="0" fontId="43" fillId="0" borderId="0" xfId="0" applyFont="1" applyAlignment="1" applyProtection="1">
      <alignment horizontal="right" vertical="center" indent="1"/>
    </xf>
    <xf numFmtId="0" fontId="44" fillId="0" borderId="0" xfId="0" applyFont="1" applyProtection="1"/>
    <xf numFmtId="0" fontId="44" fillId="0" borderId="0" xfId="0" applyFont="1" applyAlignment="1" applyProtection="1">
      <alignment horizontal="right" vertical="center"/>
    </xf>
    <xf numFmtId="0" fontId="46" fillId="0" borderId="0" xfId="0" applyFont="1" applyFill="1" applyBorder="1" applyAlignment="1">
      <alignment vertical="top" wrapText="1"/>
    </xf>
    <xf numFmtId="0" fontId="7" fillId="0" borderId="0" xfId="0" applyFont="1" applyAlignment="1" applyProtection="1">
      <alignment horizontal="left"/>
      <protection locked="0"/>
    </xf>
    <xf numFmtId="0" fontId="15" fillId="0" borderId="0" xfId="0" applyFont="1" applyProtection="1"/>
    <xf numFmtId="0" fontId="15" fillId="0" borderId="0" xfId="0" applyFont="1" applyAlignment="1" applyProtection="1">
      <alignment vertical="center"/>
    </xf>
    <xf numFmtId="0" fontId="15" fillId="0" borderId="0" xfId="0" applyFont="1" applyFill="1" applyBorder="1" applyProtection="1"/>
    <xf numFmtId="0" fontId="15" fillId="0" borderId="0" xfId="0" applyFont="1" applyFill="1" applyAlignment="1" applyProtection="1">
      <alignment horizontal="left"/>
    </xf>
    <xf numFmtId="0" fontId="7" fillId="0" borderId="0" xfId="0" applyFont="1" applyAlignment="1" applyProtection="1">
      <alignment horizontal="left" indent="1"/>
    </xf>
    <xf numFmtId="167" fontId="0" fillId="0" borderId="3" xfId="2" applyNumberFormat="1" applyFont="1" applyBorder="1" applyAlignment="1" applyProtection="1"/>
    <xf numFmtId="167" fontId="0" fillId="0" borderId="4" xfId="2" applyNumberFormat="1" applyFont="1" applyBorder="1" applyAlignment="1" applyProtection="1"/>
    <xf numFmtId="0" fontId="3" fillId="0" borderId="2" xfId="0" applyFont="1" applyBorder="1" applyAlignment="1" applyProtection="1">
      <alignment horizontal="center" wrapText="1"/>
    </xf>
    <xf numFmtId="168" fontId="7" fillId="4" borderId="0" xfId="0" applyNumberFormat="1" applyFont="1" applyFill="1" applyAlignment="1" applyProtection="1">
      <alignment vertical="top"/>
      <protection locked="0"/>
    </xf>
    <xf numFmtId="0" fontId="22" fillId="0" borderId="0" xfId="0" applyFont="1" applyAlignment="1" applyProtection="1">
      <alignment horizontal="center" vertical="top"/>
    </xf>
    <xf numFmtId="0" fontId="3" fillId="0" borderId="0" xfId="0" applyFont="1" applyAlignment="1" applyProtection="1">
      <alignment horizontal="center"/>
    </xf>
    <xf numFmtId="0" fontId="37" fillId="0" borderId="0" xfId="0" applyFont="1" applyAlignment="1" applyProtection="1">
      <alignment horizontal="center" vertical="top"/>
    </xf>
    <xf numFmtId="0" fontId="0" fillId="0" borderId="0" xfId="0" applyAlignment="1" applyProtection="1">
      <alignment wrapText="1"/>
    </xf>
    <xf numFmtId="0" fontId="1" fillId="0" borderId="0" xfId="0" applyFont="1" applyAlignment="1" applyProtection="1"/>
    <xf numFmtId="169" fontId="2" fillId="0" borderId="0" xfId="6" applyNumberFormat="1" applyFont="1" applyAlignment="1">
      <alignment horizontal="left" vertical="center"/>
    </xf>
    <xf numFmtId="167" fontId="0" fillId="4" borderId="0" xfId="7" applyNumberFormat="1" applyFont="1" applyFill="1" applyAlignment="1" applyProtection="1">
      <alignment vertical="top"/>
      <protection locked="0"/>
    </xf>
    <xf numFmtId="10" fontId="0" fillId="4" borderId="0" xfId="8" applyNumberFormat="1" applyFont="1" applyFill="1" applyAlignment="1" applyProtection="1">
      <alignment vertical="top"/>
      <protection locked="0"/>
    </xf>
    <xf numFmtId="167" fontId="49" fillId="4" borderId="0" xfId="7" applyNumberFormat="1" applyFont="1" applyFill="1" applyAlignment="1" applyProtection="1">
      <alignment vertical="top"/>
      <protection locked="0"/>
    </xf>
    <xf numFmtId="167" fontId="0" fillId="0" borderId="0" xfId="7" applyNumberFormat="1" applyFont="1" applyFill="1" applyAlignment="1" applyProtection="1">
      <alignment vertical="top"/>
      <protection locked="0"/>
    </xf>
    <xf numFmtId="164" fontId="23" fillId="0" borderId="0" xfId="7" applyNumberFormat="1" applyFont="1" applyFill="1" applyAlignment="1" applyProtection="1">
      <alignment vertical="top"/>
    </xf>
    <xf numFmtId="167" fontId="0" fillId="0" borderId="0" xfId="7" applyNumberFormat="1" applyFont="1" applyFill="1" applyAlignment="1" applyProtection="1">
      <alignment vertical="top"/>
    </xf>
    <xf numFmtId="9" fontId="11" fillId="0" borderId="0" xfId="8" applyFont="1" applyFill="1" applyAlignment="1" applyProtection="1">
      <alignment vertical="top" wrapText="1"/>
    </xf>
    <xf numFmtId="170" fontId="3" fillId="7" borderId="0" xfId="9" applyNumberFormat="1" applyFont="1" applyFill="1"/>
    <xf numFmtId="0" fontId="0" fillId="7" borderId="0" xfId="0" applyFill="1"/>
    <xf numFmtId="6" fontId="0" fillId="0" borderId="0" xfId="0" applyNumberFormat="1"/>
    <xf numFmtId="167" fontId="0" fillId="0" borderId="0" xfId="0" applyNumberFormat="1"/>
    <xf numFmtId="0" fontId="1" fillId="0" borderId="0" xfId="0" applyFont="1" applyAlignment="1">
      <alignment horizontal="right"/>
    </xf>
    <xf numFmtId="0" fontId="1" fillId="0" borderId="0" xfId="9"/>
    <xf numFmtId="0" fontId="1" fillId="0" borderId="0" xfId="9" applyFill="1"/>
    <xf numFmtId="0" fontId="48" fillId="0" borderId="0" xfId="9" applyFont="1" applyFill="1"/>
    <xf numFmtId="0" fontId="48" fillId="0" borderId="0" xfId="9" applyFont="1" applyFill="1" applyAlignment="1">
      <alignment vertical="top" wrapText="1"/>
    </xf>
    <xf numFmtId="0" fontId="15" fillId="0" borderId="0" xfId="9" applyFont="1"/>
    <xf numFmtId="0" fontId="5" fillId="0" borderId="4" xfId="9" applyFont="1" applyBorder="1"/>
    <xf numFmtId="0" fontId="1" fillId="0" borderId="4" xfId="9" applyBorder="1"/>
    <xf numFmtId="0" fontId="1" fillId="0" borderId="19" xfId="9" applyBorder="1"/>
    <xf numFmtId="0" fontId="1" fillId="0" borderId="20" xfId="9" applyBorder="1"/>
    <xf numFmtId="0" fontId="1" fillId="0" borderId="0" xfId="9" applyBorder="1"/>
    <xf numFmtId="0" fontId="3" fillId="0" borderId="25" xfId="9" applyFont="1" applyBorder="1" applyAlignment="1">
      <alignment vertical="top"/>
    </xf>
    <xf numFmtId="0" fontId="3" fillId="0" borderId="26" xfId="9" applyFont="1" applyBorder="1" applyAlignment="1">
      <alignment horizontal="center" vertical="top" wrapText="1"/>
    </xf>
    <xf numFmtId="0" fontId="3" fillId="0" borderId="27" xfId="9" applyFont="1" applyBorder="1" applyAlignment="1">
      <alignment horizontal="center" vertical="top" wrapText="1"/>
    </xf>
    <xf numFmtId="0" fontId="3" fillId="0" borderId="28" xfId="9" applyFont="1" applyBorder="1" applyAlignment="1">
      <alignment horizontal="center" vertical="top" wrapText="1"/>
    </xf>
    <xf numFmtId="0" fontId="3" fillId="0" borderId="29" xfId="9" applyFont="1" applyBorder="1" applyAlignment="1">
      <alignment horizontal="center" vertical="top" wrapText="1"/>
    </xf>
    <xf numFmtId="0" fontId="3" fillId="0" borderId="30" xfId="9" applyFont="1" applyBorder="1" applyAlignment="1">
      <alignment horizontal="center" vertical="top" wrapText="1"/>
    </xf>
    <xf numFmtId="0" fontId="3" fillId="0" borderId="31" xfId="9" applyFont="1" applyBorder="1" applyAlignment="1">
      <alignment horizontal="center" vertical="top" wrapText="1"/>
    </xf>
    <xf numFmtId="0" fontId="1" fillId="0" borderId="33" xfId="9" applyBorder="1"/>
    <xf numFmtId="0" fontId="1" fillId="0" borderId="34" xfId="9" applyBorder="1"/>
    <xf numFmtId="0" fontId="1" fillId="0" borderId="35" xfId="9" applyBorder="1"/>
    <xf numFmtId="0" fontId="1" fillId="0" borderId="36" xfId="9" applyBorder="1"/>
    <xf numFmtId="0" fontId="1" fillId="0" borderId="37" xfId="9" applyBorder="1"/>
    <xf numFmtId="0" fontId="1" fillId="0" borderId="38" xfId="9" applyBorder="1"/>
    <xf numFmtId="0" fontId="3" fillId="0" borderId="19" xfId="9" applyFont="1" applyBorder="1" applyAlignment="1">
      <alignment vertical="top" wrapText="1"/>
    </xf>
    <xf numFmtId="166" fontId="0" fillId="0" borderId="33" xfId="2" applyNumberFormat="1" applyFont="1" applyBorder="1"/>
    <xf numFmtId="10" fontId="0" fillId="0" borderId="34" xfId="5" applyNumberFormat="1" applyFont="1" applyBorder="1"/>
    <xf numFmtId="166" fontId="0" fillId="0" borderId="35" xfId="2" applyNumberFormat="1" applyFont="1" applyBorder="1"/>
    <xf numFmtId="166" fontId="0" fillId="0" borderId="34" xfId="2" applyNumberFormat="1" applyFont="1" applyBorder="1"/>
    <xf numFmtId="166" fontId="0" fillId="0" borderId="19" xfId="2" applyNumberFormat="1" applyFont="1" applyBorder="1"/>
    <xf numFmtId="0" fontId="1" fillId="0" borderId="39" xfId="9" applyBorder="1"/>
    <xf numFmtId="0" fontId="1" fillId="8" borderId="39" xfId="9" applyFont="1" applyFill="1" applyBorder="1" applyAlignment="1" applyProtection="1">
      <alignment vertical="top" wrapText="1"/>
      <protection locked="0"/>
    </xf>
    <xf numFmtId="166" fontId="0" fillId="8" borderId="33" xfId="2" applyNumberFormat="1" applyFont="1" applyFill="1" applyBorder="1" applyAlignment="1" applyProtection="1">
      <alignment vertical="top"/>
      <protection locked="0"/>
    </xf>
    <xf numFmtId="10" fontId="0" fillId="8" borderId="34" xfId="5" applyNumberFormat="1" applyFont="1" applyFill="1" applyBorder="1" applyAlignment="1" applyProtection="1">
      <alignment vertical="top"/>
      <protection locked="0"/>
    </xf>
    <xf numFmtId="166" fontId="1" fillId="8" borderId="35" xfId="9" applyNumberFormat="1" applyFill="1" applyBorder="1" applyAlignment="1" applyProtection="1">
      <alignment vertical="top"/>
      <protection locked="0"/>
    </xf>
    <xf numFmtId="166" fontId="1" fillId="8" borderId="34" xfId="9" applyNumberFormat="1" applyFill="1" applyBorder="1" applyAlignment="1" applyProtection="1">
      <alignment vertical="top"/>
      <protection locked="0"/>
    </xf>
    <xf numFmtId="166" fontId="0" fillId="8" borderId="35" xfId="2" applyNumberFormat="1" applyFont="1" applyFill="1" applyBorder="1" applyAlignment="1" applyProtection="1">
      <alignment vertical="top"/>
      <protection locked="0"/>
    </xf>
    <xf numFmtId="166" fontId="0" fillId="8" borderId="19" xfId="2" applyNumberFormat="1" applyFont="1" applyFill="1" applyBorder="1" applyAlignment="1" applyProtection="1">
      <alignment vertical="top"/>
      <protection locked="0"/>
    </xf>
    <xf numFmtId="0" fontId="1" fillId="0" borderId="39" xfId="9" quotePrefix="1" applyFill="1" applyBorder="1" applyAlignment="1">
      <alignment vertical="top" wrapText="1"/>
    </xf>
    <xf numFmtId="171" fontId="1" fillId="0" borderId="33" xfId="9" applyNumberFormat="1" applyBorder="1"/>
    <xf numFmtId="10" fontId="1" fillId="0" borderId="34" xfId="9" applyNumberFormat="1" applyBorder="1"/>
    <xf numFmtId="171" fontId="1" fillId="0" borderId="35" xfId="9" applyNumberFormat="1" applyBorder="1"/>
    <xf numFmtId="171" fontId="0" fillId="0" borderId="34" xfId="2" applyNumberFormat="1" applyFont="1" applyBorder="1"/>
    <xf numFmtId="171" fontId="1" fillId="0" borderId="34" xfId="9" applyNumberFormat="1" applyBorder="1"/>
    <xf numFmtId="171" fontId="1" fillId="0" borderId="19" xfId="9" applyNumberFormat="1" applyBorder="1"/>
    <xf numFmtId="166" fontId="1" fillId="0" borderId="33" xfId="9" applyNumberFormat="1" applyBorder="1"/>
    <xf numFmtId="166" fontId="1" fillId="0" borderId="35" xfId="9" applyNumberFormat="1" applyBorder="1"/>
    <xf numFmtId="166" fontId="1" fillId="0" borderId="34" xfId="9" applyNumberFormat="1" applyBorder="1"/>
    <xf numFmtId="166" fontId="1" fillId="0" borderId="19" xfId="9" applyNumberFormat="1" applyBorder="1"/>
    <xf numFmtId="0" fontId="1" fillId="0" borderId="40" xfId="9" applyBorder="1"/>
    <xf numFmtId="0" fontId="1" fillId="0" borderId="41" xfId="9" applyBorder="1"/>
    <xf numFmtId="0" fontId="1" fillId="0" borderId="42" xfId="9" applyBorder="1"/>
    <xf numFmtId="0" fontId="1" fillId="0" borderId="43" xfId="9" applyBorder="1"/>
    <xf numFmtId="0" fontId="1" fillId="0" borderId="44" xfId="9" applyBorder="1"/>
    <xf numFmtId="0" fontId="1" fillId="8" borderId="39" xfId="0" applyFont="1" applyFill="1" applyBorder="1" applyAlignment="1" applyProtection="1">
      <alignment vertical="top" wrapText="1"/>
      <protection locked="0"/>
    </xf>
    <xf numFmtId="0" fontId="0" fillId="0" borderId="39" xfId="0" quotePrefix="1" applyFill="1" applyBorder="1" applyAlignment="1">
      <alignment vertical="top" wrapText="1"/>
    </xf>
    <xf numFmtId="0" fontId="0" fillId="0" borderId="19" xfId="0" applyBorder="1"/>
    <xf numFmtId="0" fontId="0" fillId="0" borderId="39" xfId="0" applyBorder="1"/>
    <xf numFmtId="0" fontId="1" fillId="0" borderId="45" xfId="9" applyBorder="1"/>
    <xf numFmtId="0" fontId="1" fillId="0" borderId="39" xfId="9" applyFont="1" applyBorder="1" applyAlignment="1">
      <alignment vertical="top" wrapText="1"/>
    </xf>
    <xf numFmtId="0" fontId="3" fillId="0" borderId="32" xfId="9" applyFont="1" applyBorder="1" applyAlignment="1">
      <alignment horizontal="right" vertical="top" wrapText="1"/>
    </xf>
    <xf numFmtId="0" fontId="1" fillId="8" borderId="39" xfId="0" applyFont="1" applyFill="1" applyBorder="1" applyAlignment="1" applyProtection="1">
      <alignment horizontal="left" vertical="top" wrapText="1"/>
      <protection locked="0"/>
    </xf>
    <xf numFmtId="0" fontId="54" fillId="0" borderId="0" xfId="9" applyFont="1" applyBorder="1" applyAlignment="1">
      <alignment vertical="top"/>
    </xf>
    <xf numFmtId="0" fontId="1" fillId="0" borderId="0" xfId="9" applyFont="1" applyAlignment="1"/>
    <xf numFmtId="0" fontId="1" fillId="8" borderId="39" xfId="0" applyFont="1" applyFill="1" applyBorder="1" applyAlignment="1" applyProtection="1">
      <alignment horizontal="left" vertical="top" wrapText="1"/>
      <protection locked="0"/>
    </xf>
    <xf numFmtId="0" fontId="1" fillId="8" borderId="39" xfId="0" applyFont="1" applyFill="1" applyBorder="1" applyAlignment="1" applyProtection="1">
      <alignment horizontal="left" vertical="top" wrapText="1"/>
      <protection locked="0"/>
    </xf>
    <xf numFmtId="0" fontId="1" fillId="8" borderId="39" xfId="0" applyFont="1" applyFill="1" applyBorder="1" applyAlignment="1" applyProtection="1">
      <alignment horizontal="left" vertical="top" wrapText="1"/>
      <protection locked="0"/>
    </xf>
    <xf numFmtId="0" fontId="1" fillId="8" borderId="39" xfId="0" applyFont="1" applyFill="1" applyBorder="1" applyAlignment="1" applyProtection="1">
      <alignment horizontal="left" vertical="top" wrapText="1"/>
      <protection locked="0"/>
    </xf>
    <xf numFmtId="166" fontId="3" fillId="8" borderId="33" xfId="2" applyNumberFormat="1" applyFont="1" applyFill="1" applyBorder="1" applyAlignment="1" applyProtection="1">
      <alignment vertical="top"/>
      <protection locked="0"/>
    </xf>
    <xf numFmtId="10" fontId="3" fillId="8" borderId="34" xfId="5" applyNumberFormat="1" applyFont="1" applyFill="1" applyBorder="1" applyAlignment="1" applyProtection="1">
      <alignment vertical="top"/>
      <protection locked="0"/>
    </xf>
    <xf numFmtId="166" fontId="3" fillId="8" borderId="35" xfId="9" applyNumberFormat="1" applyFont="1" applyFill="1" applyBorder="1" applyAlignment="1" applyProtection="1">
      <alignment vertical="top"/>
      <protection locked="0"/>
    </xf>
    <xf numFmtId="166" fontId="3" fillId="8" borderId="34" xfId="9" applyNumberFormat="1" applyFont="1" applyFill="1" applyBorder="1" applyAlignment="1" applyProtection="1">
      <alignment vertical="top"/>
      <protection locked="0"/>
    </xf>
    <xf numFmtId="166" fontId="3" fillId="8" borderId="35" xfId="2" applyNumberFormat="1" applyFont="1" applyFill="1" applyBorder="1" applyAlignment="1" applyProtection="1">
      <alignment vertical="top"/>
      <protection locked="0"/>
    </xf>
    <xf numFmtId="166" fontId="3" fillId="8" borderId="19" xfId="2" applyNumberFormat="1" applyFont="1" applyFill="1" applyBorder="1" applyAlignment="1" applyProtection="1">
      <alignment vertical="top"/>
      <protection locked="0"/>
    </xf>
    <xf numFmtId="0" fontId="3" fillId="0" borderId="19" xfId="9" applyFont="1" applyBorder="1" applyAlignment="1">
      <alignment horizontal="left" vertical="top" wrapText="1"/>
    </xf>
    <xf numFmtId="171" fontId="24" fillId="0" borderId="33" xfId="9" applyNumberFormat="1" applyFont="1" applyBorder="1"/>
    <xf numFmtId="10" fontId="24" fillId="0" borderId="34" xfId="9" applyNumberFormat="1" applyFont="1" applyBorder="1"/>
    <xf numFmtId="171" fontId="24" fillId="0" borderId="35" xfId="9" applyNumberFormat="1" applyFont="1" applyBorder="1"/>
    <xf numFmtId="171" fontId="24" fillId="0" borderId="34" xfId="2" applyNumberFormat="1" applyFont="1" applyBorder="1"/>
    <xf numFmtId="171" fontId="24" fillId="0" borderId="34" xfId="9" applyNumberFormat="1" applyFont="1" applyBorder="1"/>
    <xf numFmtId="171" fontId="24" fillId="0" borderId="19" xfId="9" applyNumberFormat="1" applyFont="1" applyBorder="1"/>
    <xf numFmtId="0" fontId="24" fillId="0" borderId="19" xfId="9" quotePrefix="1" applyFont="1" applyBorder="1" applyAlignment="1"/>
    <xf numFmtId="0" fontId="3" fillId="0" borderId="19" xfId="9" applyFont="1" applyBorder="1" applyAlignment="1">
      <alignment horizontal="center" vertical="top" wrapText="1"/>
    </xf>
    <xf numFmtId="0" fontId="1" fillId="0" borderId="39" xfId="9" applyFill="1" applyBorder="1" applyAlignment="1" applyProtection="1">
      <alignment horizontal="left" vertical="top" wrapText="1"/>
      <protection locked="0"/>
    </xf>
    <xf numFmtId="0" fontId="29" fillId="0" borderId="0" xfId="0" applyFont="1" applyFill="1" applyBorder="1" applyAlignment="1" applyProtection="1">
      <alignment horizontal="left" indent="4"/>
    </xf>
    <xf numFmtId="0" fontId="24" fillId="2" borderId="0" xfId="0" applyNumberFormat="1" applyFont="1" applyFill="1" applyAlignment="1" applyProtection="1">
      <alignment horizontal="left" vertical="top" wrapText="1" indent="4"/>
    </xf>
    <xf numFmtId="0" fontId="31" fillId="0" borderId="0" xfId="0" applyFont="1" applyFill="1" applyAlignment="1" applyProtection="1">
      <alignment horizontal="left"/>
    </xf>
    <xf numFmtId="0" fontId="4" fillId="0" borderId="0" xfId="3" applyFill="1" applyBorder="1" applyAlignment="1" applyProtection="1">
      <alignment horizontal="left"/>
      <protection locked="0"/>
    </xf>
    <xf numFmtId="0" fontId="32" fillId="0" borderId="0" xfId="0" applyFont="1" applyFill="1" applyBorder="1" applyAlignment="1" applyProtection="1">
      <alignment horizontal="left"/>
      <protection locked="0"/>
    </xf>
    <xf numFmtId="0" fontId="44" fillId="4" borderId="16" xfId="0" applyNumberFormat="1" applyFont="1" applyFill="1" applyBorder="1" applyAlignment="1" applyProtection="1">
      <alignment horizontal="left" vertical="center"/>
      <protection locked="0"/>
    </xf>
    <xf numFmtId="0" fontId="44" fillId="4" borderId="17" xfId="0" applyNumberFormat="1" applyFont="1" applyFill="1" applyBorder="1" applyAlignment="1" applyProtection="1">
      <alignment horizontal="left" vertical="center"/>
      <protection locked="0"/>
    </xf>
    <xf numFmtId="0" fontId="44" fillId="4" borderId="18" xfId="0" applyNumberFormat="1" applyFont="1" applyFill="1" applyBorder="1" applyAlignment="1" applyProtection="1">
      <alignment horizontal="left" vertical="center"/>
      <protection locked="0"/>
    </xf>
    <xf numFmtId="0" fontId="44" fillId="5" borderId="16" xfId="0" applyFont="1" applyFill="1" applyBorder="1" applyAlignment="1" applyProtection="1">
      <alignment horizontal="left" vertical="center" wrapText="1"/>
      <protection locked="0"/>
    </xf>
    <xf numFmtId="0" fontId="44" fillId="5" borderId="17" xfId="0" applyFont="1" applyFill="1" applyBorder="1" applyAlignment="1" applyProtection="1">
      <alignment horizontal="left" vertical="center" wrapText="1"/>
      <protection locked="0"/>
    </xf>
    <xf numFmtId="0" fontId="44" fillId="5" borderId="18" xfId="0" applyFont="1" applyFill="1" applyBorder="1" applyAlignment="1" applyProtection="1">
      <alignment horizontal="left" vertical="center" wrapText="1"/>
      <protection locked="0"/>
    </xf>
    <xf numFmtId="0" fontId="45" fillId="4" borderId="16" xfId="0" applyFont="1" applyFill="1" applyBorder="1" applyAlignment="1" applyProtection="1">
      <alignment horizontal="left" vertical="center"/>
      <protection locked="0"/>
    </xf>
    <xf numFmtId="0" fontId="45" fillId="4" borderId="17" xfId="0" applyFont="1" applyFill="1" applyBorder="1" applyAlignment="1" applyProtection="1">
      <alignment horizontal="left" vertical="center"/>
      <protection locked="0"/>
    </xf>
    <xf numFmtId="0" fontId="45" fillId="4" borderId="18" xfId="0" applyFont="1" applyFill="1" applyBorder="1" applyAlignment="1" applyProtection="1">
      <alignment horizontal="left" vertical="center"/>
      <protection locked="0"/>
    </xf>
    <xf numFmtId="0" fontId="44" fillId="4" borderId="16" xfId="0" applyFont="1" applyFill="1" applyBorder="1" applyAlignment="1" applyProtection="1">
      <alignment horizontal="left" vertical="center"/>
      <protection locked="0"/>
    </xf>
    <xf numFmtId="0" fontId="44" fillId="4" borderId="17" xfId="0" applyFont="1" applyFill="1" applyBorder="1" applyAlignment="1" applyProtection="1">
      <alignment horizontal="left" vertical="center"/>
      <protection locked="0"/>
    </xf>
    <xf numFmtId="0" fontId="44" fillId="4" borderId="18" xfId="0" applyFont="1" applyFill="1" applyBorder="1" applyAlignment="1" applyProtection="1">
      <alignment horizontal="left" vertical="center"/>
      <protection locked="0"/>
    </xf>
    <xf numFmtId="0" fontId="13" fillId="0" borderId="0" xfId="0" applyFont="1" applyFill="1" applyBorder="1" applyAlignment="1" applyProtection="1">
      <alignment horizontal="left" vertical="top" wrapText="1"/>
    </xf>
    <xf numFmtId="0" fontId="14" fillId="0" borderId="0" xfId="0" applyFont="1" applyFill="1" applyBorder="1" applyAlignment="1" applyProtection="1">
      <alignment horizontal="left" indent="1"/>
      <protection locked="0"/>
    </xf>
    <xf numFmtId="0" fontId="21" fillId="2" borderId="0" xfId="0" applyFont="1" applyFill="1" applyBorder="1" applyAlignment="1" applyProtection="1">
      <alignment horizontal="left" vertical="center" wrapText="1"/>
    </xf>
    <xf numFmtId="0" fontId="7" fillId="4" borderId="0" xfId="0" applyFont="1" applyFill="1" applyBorder="1" applyAlignment="1" applyProtection="1">
      <alignment horizontal="left"/>
    </xf>
    <xf numFmtId="0" fontId="7" fillId="5" borderId="0" xfId="0" applyFont="1" applyFill="1" applyBorder="1" applyAlignment="1" applyProtection="1">
      <alignment horizontal="left"/>
    </xf>
    <xf numFmtId="0" fontId="0" fillId="4" borderId="0" xfId="0" applyFill="1" applyAlignment="1" applyProtection="1">
      <alignment horizontal="left" wrapText="1"/>
      <protection locked="0"/>
    </xf>
    <xf numFmtId="0" fontId="0" fillId="0" borderId="0" xfId="0" applyFill="1" applyAlignment="1" applyProtection="1">
      <alignment horizontal="left" wrapText="1"/>
      <protection locked="0"/>
    </xf>
    <xf numFmtId="0" fontId="13" fillId="2" borderId="0" xfId="0" applyFont="1" applyFill="1" applyAlignment="1" applyProtection="1">
      <alignment horizontal="left" vertical="top" wrapText="1"/>
    </xf>
    <xf numFmtId="0" fontId="5" fillId="0" borderId="0"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0" fillId="0" borderId="0" xfId="0" applyFill="1" applyAlignment="1" applyProtection="1">
      <alignment horizontal="left" wrapText="1"/>
    </xf>
    <xf numFmtId="0" fontId="0" fillId="0" borderId="0" xfId="0" applyFill="1" applyAlignment="1" applyProtection="1">
      <alignment wrapText="1"/>
    </xf>
    <xf numFmtId="0" fontId="14" fillId="2" borderId="0" xfId="0" applyFont="1" applyFill="1" applyBorder="1" applyAlignment="1" applyProtection="1">
      <alignment horizontal="left" indent="7"/>
    </xf>
    <xf numFmtId="0" fontId="3" fillId="0" borderId="0" xfId="0" quotePrefix="1" applyFont="1" applyFill="1" applyAlignment="1" applyProtection="1">
      <alignment vertical="center" wrapText="1"/>
    </xf>
    <xf numFmtId="0" fontId="0" fillId="0" borderId="0" xfId="0" applyAlignment="1">
      <alignment vertical="center" wrapText="1"/>
    </xf>
    <xf numFmtId="0" fontId="3" fillId="0" borderId="0" xfId="0" applyFont="1" applyFill="1" applyBorder="1" applyAlignment="1" applyProtection="1">
      <alignment horizontal="center" vertical="center" wrapText="1"/>
    </xf>
    <xf numFmtId="0" fontId="3" fillId="0" borderId="2" xfId="0"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protection locked="0"/>
    </xf>
    <xf numFmtId="0" fontId="3" fillId="3" borderId="0" xfId="0" applyFont="1" applyFill="1" applyBorder="1" applyAlignment="1" applyProtection="1">
      <alignment horizontal="center" vertical="center" wrapText="1"/>
      <protection locked="0"/>
    </xf>
    <xf numFmtId="0" fontId="22" fillId="2" borderId="0" xfId="0" quotePrefix="1" applyFont="1" applyFill="1" applyAlignment="1" applyProtection="1">
      <alignment wrapText="1"/>
    </xf>
    <xf numFmtId="0" fontId="23" fillId="2" borderId="0" xfId="0" applyFont="1" applyFill="1" applyAlignment="1" applyProtection="1">
      <alignment wrapText="1"/>
    </xf>
    <xf numFmtId="0" fontId="0" fillId="0" borderId="0" xfId="0" applyAlignment="1" applyProtection="1">
      <alignment vertical="center" wrapText="1"/>
    </xf>
    <xf numFmtId="0" fontId="0" fillId="0" borderId="0" xfId="0" applyAlignment="1" applyProtection="1"/>
    <xf numFmtId="0" fontId="0" fillId="0" borderId="0" xfId="0" applyAlignment="1" applyProtection="1">
      <alignment horizontal="left"/>
    </xf>
    <xf numFmtId="0" fontId="0" fillId="0" borderId="0" xfId="0" applyFill="1" applyAlignment="1" applyProtection="1">
      <alignment horizontal="left" vertical="top" wrapText="1"/>
    </xf>
    <xf numFmtId="0" fontId="0" fillId="0" borderId="0" xfId="0" applyAlignment="1" applyProtection="1">
      <alignment wrapText="1"/>
    </xf>
    <xf numFmtId="0" fontId="1" fillId="0" borderId="0" xfId="0" applyFont="1" applyAlignment="1" applyProtection="1">
      <alignment wrapText="1"/>
    </xf>
    <xf numFmtId="0" fontId="0" fillId="4" borderId="0" xfId="0" applyFill="1" applyAlignment="1" applyProtection="1">
      <alignment wrapText="1"/>
      <protection locked="0"/>
    </xf>
    <xf numFmtId="0" fontId="13" fillId="2" borderId="0" xfId="0" applyFont="1" applyFill="1" applyAlignment="1" applyProtection="1">
      <alignment horizontal="left" vertical="top" wrapText="1" indent="7"/>
    </xf>
    <xf numFmtId="0" fontId="10" fillId="0" borderId="0" xfId="0" applyFont="1" applyBorder="1" applyAlignment="1" applyProtection="1">
      <alignment horizontal="left" wrapText="1"/>
    </xf>
    <xf numFmtId="167" fontId="0" fillId="0" borderId="3" xfId="2" applyNumberFormat="1" applyFont="1" applyBorder="1" applyAlignment="1" applyProtection="1">
      <alignment horizontal="right"/>
    </xf>
    <xf numFmtId="167" fontId="0" fillId="0" borderId="4" xfId="2" applyNumberFormat="1" applyFont="1" applyBorder="1" applyAlignment="1" applyProtection="1">
      <alignment horizontal="right"/>
    </xf>
    <xf numFmtId="0" fontId="3" fillId="0" borderId="0" xfId="0" applyFont="1" applyBorder="1" applyAlignment="1" applyProtection="1">
      <alignment horizontal="left"/>
    </xf>
    <xf numFmtId="0" fontId="3" fillId="0" borderId="4" xfId="0" applyFont="1" applyBorder="1" applyAlignment="1" applyProtection="1">
      <alignment horizontal="left"/>
    </xf>
    <xf numFmtId="0" fontId="12" fillId="0" borderId="2" xfId="0" applyFont="1" applyFill="1" applyBorder="1" applyAlignment="1" applyProtection="1">
      <alignment horizontal="left"/>
    </xf>
    <xf numFmtId="0" fontId="3" fillId="0" borderId="2" xfId="0" applyFont="1" applyFill="1" applyBorder="1" applyAlignment="1" applyProtection="1">
      <alignment horizontal="left"/>
    </xf>
    <xf numFmtId="167" fontId="0" fillId="0" borderId="3" xfId="0" applyNumberFormat="1" applyBorder="1" applyAlignment="1" applyProtection="1">
      <alignment horizontal="right"/>
    </xf>
    <xf numFmtId="167" fontId="0" fillId="0" borderId="4" xfId="0" applyNumberFormat="1" applyBorder="1" applyAlignment="1" applyProtection="1">
      <alignment horizontal="right"/>
    </xf>
    <xf numFmtId="167" fontId="0" fillId="0" borderId="13" xfId="2" applyNumberFormat="1" applyFont="1" applyBorder="1" applyAlignment="1" applyProtection="1">
      <alignment horizontal="right"/>
    </xf>
    <xf numFmtId="167" fontId="0" fillId="0" borderId="2" xfId="2" applyNumberFormat="1" applyFont="1" applyBorder="1" applyAlignment="1" applyProtection="1">
      <alignment horizontal="right"/>
    </xf>
    <xf numFmtId="167" fontId="0" fillId="0" borderId="3" xfId="2" applyNumberFormat="1" applyFont="1" applyFill="1" applyBorder="1" applyAlignment="1" applyProtection="1">
      <alignment horizontal="right"/>
    </xf>
    <xf numFmtId="167" fontId="0" fillId="0" borderId="4" xfId="2" applyNumberFormat="1" applyFont="1" applyFill="1" applyBorder="1" applyAlignment="1" applyProtection="1">
      <alignment horizontal="right"/>
    </xf>
    <xf numFmtId="167" fontId="0" fillId="0" borderId="0" xfId="2" applyNumberFormat="1" applyFont="1" applyBorder="1" applyAlignment="1" applyProtection="1">
      <alignment horizontal="right"/>
    </xf>
    <xf numFmtId="167" fontId="0" fillId="0" borderId="3" xfId="2" applyNumberFormat="1" applyFont="1" applyBorder="1" applyAlignment="1" applyProtection="1"/>
    <xf numFmtId="167" fontId="0" fillId="0" borderId="2" xfId="2" applyNumberFormat="1" applyFont="1" applyBorder="1" applyAlignment="1" applyProtection="1"/>
    <xf numFmtId="0" fontId="5" fillId="0" borderId="0" xfId="0" applyFont="1" applyFill="1" applyAlignment="1" applyProtection="1">
      <alignment horizontal="center"/>
    </xf>
    <xf numFmtId="0" fontId="0" fillId="4" borderId="0" xfId="0" applyFill="1" applyBorder="1" applyAlignment="1" applyProtection="1">
      <alignment wrapText="1"/>
      <protection locked="0"/>
    </xf>
    <xf numFmtId="0" fontId="7" fillId="4" borderId="0" xfId="0" applyFont="1" applyFill="1" applyBorder="1" applyAlignment="1" applyProtection="1">
      <alignment wrapText="1"/>
      <protection locked="0"/>
    </xf>
    <xf numFmtId="0" fontId="10" fillId="0" borderId="0" xfId="0" applyFont="1" applyBorder="1" applyAlignment="1" applyProtection="1">
      <alignment horizontal="left"/>
    </xf>
    <xf numFmtId="0" fontId="23" fillId="0" borderId="0" xfId="0" applyFont="1" applyFill="1" applyAlignment="1" applyProtection="1">
      <alignment wrapText="1"/>
    </xf>
    <xf numFmtId="49" fontId="10" fillId="0" borderId="0" xfId="0" applyNumberFormat="1" applyFont="1" applyBorder="1" applyAlignment="1" applyProtection="1">
      <alignment horizontal="left"/>
    </xf>
    <xf numFmtId="0" fontId="5" fillId="0" borderId="0" xfId="0" applyFont="1" applyFill="1" applyAlignment="1" applyProtection="1">
      <alignment horizontal="left"/>
    </xf>
    <xf numFmtId="0" fontId="0" fillId="0" borderId="0" xfId="0" applyAlignment="1" applyProtection="1">
      <alignment horizontal="left" wrapText="1"/>
    </xf>
    <xf numFmtId="49" fontId="3"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xf>
    <xf numFmtId="0" fontId="3" fillId="6" borderId="0" xfId="0" applyFont="1" applyFill="1" applyBorder="1" applyAlignment="1" applyProtection="1">
      <alignment horizontal="center" vertical="center"/>
    </xf>
    <xf numFmtId="0" fontId="0" fillId="0" borderId="0" xfId="0" applyAlignment="1" applyProtection="1">
      <alignment horizontal="left" vertical="top" wrapText="1"/>
    </xf>
    <xf numFmtId="0" fontId="13" fillId="2" borderId="0" xfId="0" applyFont="1" applyFill="1" applyAlignment="1" applyProtection="1">
      <alignment horizontal="left" vertical="top" wrapText="1" indent="8"/>
    </xf>
    <xf numFmtId="0" fontId="14" fillId="2" borderId="0" xfId="0" applyFont="1" applyFill="1" applyBorder="1" applyAlignment="1" applyProtection="1">
      <alignment horizontal="left" indent="8"/>
    </xf>
    <xf numFmtId="0" fontId="15" fillId="0" borderId="0" xfId="0" applyFont="1" applyFill="1" applyAlignment="1" applyProtection="1">
      <alignment horizontal="left" vertical="center"/>
    </xf>
    <xf numFmtId="0" fontId="3" fillId="0" borderId="2" xfId="0" applyFont="1" applyBorder="1" applyAlignment="1" applyProtection="1">
      <alignment horizontal="center" vertical="center"/>
    </xf>
    <xf numFmtId="0" fontId="0" fillId="4" borderId="0" xfId="0" applyFill="1" applyAlignment="1" applyProtection="1">
      <alignment horizontal="left" vertical="top" wrapText="1"/>
      <protection locked="0"/>
    </xf>
    <xf numFmtId="0" fontId="3" fillId="2" borderId="10" xfId="0" applyFont="1" applyFill="1" applyBorder="1" applyAlignment="1" applyProtection="1">
      <alignment horizontal="center" vertical="center" wrapText="1"/>
    </xf>
    <xf numFmtId="0" fontId="3" fillId="2" borderId="8" xfId="0" applyFont="1" applyFill="1" applyBorder="1" applyAlignment="1" applyProtection="1">
      <alignment horizontal="center" vertical="center" wrapText="1"/>
    </xf>
    <xf numFmtId="0" fontId="3" fillId="2" borderId="15"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2" xfId="0" applyFont="1" applyFill="1" applyBorder="1" applyAlignment="1" applyProtection="1">
      <alignment horizontal="center"/>
    </xf>
    <xf numFmtId="0" fontId="13" fillId="2" borderId="0" xfId="0" applyFont="1" applyFill="1" applyAlignment="1" applyProtection="1">
      <alignment horizontal="left" vertical="top" wrapText="1" indent="6"/>
    </xf>
    <xf numFmtId="0" fontId="14" fillId="2" borderId="0" xfId="0" applyFont="1" applyFill="1" applyBorder="1" applyAlignment="1" applyProtection="1">
      <alignment horizontal="left" indent="6"/>
    </xf>
    <xf numFmtId="0" fontId="3" fillId="0" borderId="0" xfId="0" applyFont="1" applyAlignment="1" applyProtection="1">
      <alignment horizontal="left"/>
    </xf>
    <xf numFmtId="0" fontId="3" fillId="0" borderId="0" xfId="0" applyFont="1" applyBorder="1" applyAlignment="1" applyProtection="1">
      <alignment horizontal="center" vertical="center"/>
    </xf>
    <xf numFmtId="0" fontId="3" fillId="0" borderId="0" xfId="0" applyFont="1" applyBorder="1" applyAlignment="1" applyProtection="1">
      <alignment horizontal="center" wrapText="1"/>
    </xf>
    <xf numFmtId="0" fontId="3" fillId="0" borderId="2" xfId="0" applyFont="1" applyBorder="1" applyAlignment="1" applyProtection="1">
      <alignment horizontal="center" wrapText="1"/>
    </xf>
    <xf numFmtId="0" fontId="27" fillId="2" borderId="0" xfId="0" applyFont="1" applyFill="1" applyAlignment="1" applyProtection="1">
      <alignment horizontal="left" wrapText="1"/>
    </xf>
    <xf numFmtId="167" fontId="0" fillId="0" borderId="0" xfId="2" applyNumberFormat="1" applyFont="1" applyAlignment="1" applyProtection="1">
      <alignment horizontal="right"/>
    </xf>
    <xf numFmtId="167" fontId="0" fillId="0" borderId="0" xfId="2" applyNumberFormat="1" applyFont="1" applyAlignment="1" applyProtection="1"/>
    <xf numFmtId="167" fontId="0" fillId="0" borderId="0" xfId="0" applyNumberFormat="1" applyAlignment="1" applyProtection="1"/>
    <xf numFmtId="167" fontId="28" fillId="0" borderId="0" xfId="2" applyNumberFormat="1" applyFont="1" applyAlignment="1" applyProtection="1"/>
    <xf numFmtId="167" fontId="28" fillId="0" borderId="0" xfId="0" applyNumberFormat="1" applyFont="1" applyAlignment="1" applyProtection="1"/>
    <xf numFmtId="167" fontId="0" fillId="0" borderId="0" xfId="2" applyNumberFormat="1" applyFont="1" applyFill="1" applyBorder="1" applyAlignment="1" applyProtection="1">
      <alignment horizontal="right"/>
    </xf>
    <xf numFmtId="167" fontId="0" fillId="0" borderId="0" xfId="0" applyNumberFormat="1" applyBorder="1" applyAlignment="1" applyProtection="1">
      <alignment horizontal="center"/>
    </xf>
    <xf numFmtId="167" fontId="0" fillId="0" borderId="6" xfId="2" applyNumberFormat="1" applyFont="1" applyBorder="1" applyAlignment="1" applyProtection="1">
      <alignment horizontal="right"/>
    </xf>
    <xf numFmtId="167" fontId="7" fillId="0" borderId="0" xfId="2" applyNumberFormat="1" applyFont="1" applyBorder="1" applyAlignment="1" applyProtection="1">
      <alignment horizontal="right" vertical="center"/>
    </xf>
    <xf numFmtId="167" fontId="7" fillId="0" borderId="0" xfId="0" applyNumberFormat="1" applyFont="1" applyAlignment="1" applyProtection="1">
      <alignment horizontal="right"/>
    </xf>
    <xf numFmtId="0" fontId="3" fillId="2" borderId="2" xfId="0" applyFont="1" applyFill="1" applyBorder="1" applyAlignment="1" applyProtection="1">
      <alignment horizontal="center" vertical="center" wrapText="1"/>
    </xf>
    <xf numFmtId="0" fontId="5" fillId="0" borderId="0" xfId="0" applyFont="1" applyFill="1" applyAlignment="1" applyProtection="1">
      <alignment horizontal="center" vertical="center"/>
    </xf>
    <xf numFmtId="167" fontId="0" fillId="0" borderId="2" xfId="0" applyNumberFormat="1" applyBorder="1" applyAlignment="1" applyProtection="1">
      <alignment horizontal="right"/>
    </xf>
    <xf numFmtId="167" fontId="0" fillId="0" borderId="3" xfId="0" applyNumberFormat="1" applyFill="1" applyBorder="1" applyAlignment="1" applyProtection="1">
      <alignment horizontal="right"/>
    </xf>
    <xf numFmtId="167" fontId="0" fillId="0" borderId="4" xfId="0" applyNumberFormat="1" applyFill="1" applyBorder="1" applyAlignment="1" applyProtection="1">
      <alignment horizontal="right"/>
    </xf>
    <xf numFmtId="167" fontId="0" fillId="0" borderId="0" xfId="2" applyNumberFormat="1" applyFont="1" applyBorder="1" applyAlignment="1" applyProtection="1"/>
    <xf numFmtId="167" fontId="0" fillId="0" borderId="0" xfId="0" applyNumberFormat="1" applyBorder="1" applyAlignment="1" applyProtection="1"/>
    <xf numFmtId="167" fontId="0" fillId="0" borderId="2" xfId="0" applyNumberFormat="1" applyBorder="1" applyAlignment="1" applyProtection="1"/>
    <xf numFmtId="0" fontId="3" fillId="0" borderId="0" xfId="9" applyFont="1" applyAlignment="1">
      <alignment horizontal="left" vertical="top" wrapText="1"/>
    </xf>
    <xf numFmtId="0" fontId="53" fillId="0" borderId="0" xfId="9" applyFont="1" applyAlignment="1">
      <alignment horizontal="center"/>
    </xf>
    <xf numFmtId="0" fontId="3" fillId="0" borderId="21" xfId="9" applyFont="1" applyBorder="1" applyAlignment="1">
      <alignment horizontal="center" vertical="top"/>
    </xf>
    <xf numFmtId="0" fontId="3" fillId="0" borderId="20" xfId="9" applyFont="1" applyBorder="1" applyAlignment="1">
      <alignment horizontal="center" vertical="top"/>
    </xf>
    <xf numFmtId="0" fontId="3" fillId="0" borderId="21" xfId="9" applyFont="1" applyBorder="1" applyAlignment="1">
      <alignment horizontal="center" vertical="top" wrapText="1"/>
    </xf>
    <xf numFmtId="0" fontId="3" fillId="0" borderId="20" xfId="9" applyFont="1" applyBorder="1" applyAlignment="1">
      <alignment horizontal="center" vertical="top" wrapText="1"/>
    </xf>
    <xf numFmtId="0" fontId="3" fillId="0" borderId="22" xfId="9" applyFont="1" applyBorder="1" applyAlignment="1">
      <alignment horizontal="center" vertical="top"/>
    </xf>
    <xf numFmtId="0" fontId="3" fillId="0" borderId="23" xfId="9" applyFont="1" applyBorder="1" applyAlignment="1">
      <alignment horizontal="center" vertical="top"/>
    </xf>
    <xf numFmtId="0" fontId="3" fillId="0" borderId="24" xfId="9" applyFont="1" applyBorder="1" applyAlignment="1">
      <alignment horizontal="center" vertical="top"/>
    </xf>
    <xf numFmtId="0" fontId="1" fillId="0" borderId="0" xfId="0" applyFont="1" applyAlignment="1">
      <alignment horizontal="center" vertical="top" wrapText="1"/>
    </xf>
    <xf numFmtId="0" fontId="3" fillId="0" borderId="19" xfId="9" applyFont="1" applyBorder="1" applyAlignment="1">
      <alignment horizontal="left" vertical="top" wrapText="1"/>
    </xf>
    <xf numFmtId="0" fontId="0" fillId="8" borderId="39" xfId="0" applyFill="1" applyBorder="1" applyAlignment="1" applyProtection="1">
      <alignment horizontal="left" vertical="top" wrapText="1"/>
      <protection locked="0"/>
    </xf>
    <xf numFmtId="0" fontId="1" fillId="8" borderId="39" xfId="0" applyFont="1" applyFill="1" applyBorder="1" applyAlignment="1" applyProtection="1">
      <alignment horizontal="left" vertical="top" wrapText="1"/>
      <protection locked="0"/>
    </xf>
    <xf numFmtId="0" fontId="3" fillId="0" borderId="0" xfId="9" applyFont="1" applyBorder="1" applyAlignment="1">
      <alignment horizontal="left" vertical="top" wrapText="1"/>
    </xf>
    <xf numFmtId="0" fontId="1" fillId="8" borderId="39" xfId="9" applyFont="1" applyFill="1" applyBorder="1" applyAlignment="1" applyProtection="1">
      <alignment horizontal="left" vertical="top" wrapText="1"/>
      <protection locked="0"/>
    </xf>
    <xf numFmtId="0" fontId="1" fillId="8" borderId="39" xfId="9" applyFill="1" applyBorder="1" applyAlignment="1" applyProtection="1">
      <alignment horizontal="left" vertical="top" wrapText="1"/>
      <protection locked="0"/>
    </xf>
    <xf numFmtId="0" fontId="1" fillId="0" borderId="0" xfId="9" applyFont="1" applyAlignment="1">
      <alignment horizontal="left" vertical="top"/>
    </xf>
    <xf numFmtId="0" fontId="3" fillId="0" borderId="19" xfId="9" applyFont="1" applyBorder="1" applyAlignment="1">
      <alignment horizontal="center" vertical="top" wrapText="1"/>
    </xf>
  </cellXfs>
  <cellStyles count="10">
    <cellStyle name="Comma" xfId="1" builtinId="3"/>
    <cellStyle name="Currency" xfId="2" builtinId="4"/>
    <cellStyle name="Currency 2 8" xfId="7"/>
    <cellStyle name="Hyperlink" xfId="3" builtinId="8"/>
    <cellStyle name="Normal" xfId="0" builtinId="0"/>
    <cellStyle name="Normal 2 2 5" xfId="9"/>
    <cellStyle name="Normal_OEB Trial Balance - Regulatory-July24-07" xfId="6"/>
    <cellStyle name="Normal_Sheet3" xfId="4"/>
    <cellStyle name="Percent" xfId="5" builtinId="5"/>
    <cellStyle name="Percent 2" xfId="8"/>
  </cellStyles>
  <dxfs count="13">
    <dxf>
      <font>
        <condense val="0"/>
        <extend val="0"/>
        <color indexed="9"/>
      </font>
      <border>
        <top/>
      </border>
    </dxf>
    <dxf>
      <fill>
        <patternFill patternType="none">
          <bgColor indexed="65"/>
        </patternFill>
      </fill>
      <border>
        <bottom/>
      </border>
    </dxf>
    <dxf>
      <fill>
        <patternFill patternType="none">
          <bgColor indexed="65"/>
        </patternFill>
      </fill>
      <border>
        <left/>
        <right/>
        <top/>
        <bottom/>
      </border>
    </dxf>
    <dxf>
      <fill>
        <patternFill>
          <bgColor indexed="9"/>
        </patternFill>
      </fill>
      <border>
        <left/>
        <right/>
        <top/>
        <bottom/>
      </border>
    </dxf>
    <dxf>
      <fill>
        <patternFill patternType="solid">
          <bgColor indexed="9"/>
        </patternFill>
      </fill>
      <border>
        <bottom/>
      </border>
    </dxf>
    <dxf>
      <fill>
        <patternFill patternType="none">
          <bgColor indexed="65"/>
        </patternFill>
      </fill>
      <border>
        <bottom/>
      </border>
    </dxf>
    <dxf>
      <fill>
        <patternFill patternType="none">
          <bgColor indexed="65"/>
        </patternFill>
      </fill>
      <border>
        <top/>
        <bottom/>
      </border>
    </dxf>
    <dxf>
      <fill>
        <patternFill>
          <bgColor indexed="9"/>
        </patternFill>
      </fill>
      <border>
        <bottom style="thin">
          <color indexed="64"/>
        </bottom>
      </border>
    </dxf>
    <dxf>
      <fill>
        <patternFill>
          <bgColor indexed="9"/>
        </patternFill>
      </fill>
      <border>
        <bottom style="thin">
          <color indexed="64"/>
        </bottom>
      </border>
    </dxf>
    <dxf>
      <font>
        <condense val="0"/>
        <extend val="0"/>
        <color indexed="9"/>
      </font>
    </dxf>
    <dxf>
      <font>
        <condense val="0"/>
        <extend val="0"/>
        <color indexed="42"/>
      </font>
    </dxf>
    <dxf>
      <font>
        <condense val="0"/>
        <extend val="0"/>
        <color indexed="9"/>
      </font>
      <border>
        <top/>
      </border>
    </dxf>
    <dxf>
      <fill>
        <patternFill patternType="none">
          <bgColor indexed="65"/>
        </patternFill>
      </fill>
    </dxf>
  </dxfs>
  <tableStyles count="0" defaultTableStyle="TableStyleMedium9"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microsoft.com/office/2006/relationships/vbaProject" Target="vbaProject.bin"/><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5.w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jpe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10</xdr:col>
      <xdr:colOff>476250</xdr:colOff>
      <xdr:row>12</xdr:row>
      <xdr:rowOff>104775</xdr:rowOff>
    </xdr:from>
    <xdr:to>
      <xdr:col>12</xdr:col>
      <xdr:colOff>257175</xdr:colOff>
      <xdr:row>14</xdr:row>
      <xdr:rowOff>76200</xdr:rowOff>
    </xdr:to>
    <xdr:sp macro="" textlink="">
      <xdr:nvSpPr>
        <xdr:cNvPr id="12325" name="Text Box 37"/>
        <xdr:cNvSpPr txBox="1">
          <a:spLocks noChangeArrowheads="1"/>
        </xdr:cNvSpPr>
      </xdr:nvSpPr>
      <xdr:spPr bwMode="auto">
        <a:xfrm>
          <a:off x="6572250" y="2047875"/>
          <a:ext cx="1000125" cy="2952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32004" rIns="0" bIns="0" anchor="t" upright="1"/>
        <a:lstStyle/>
        <a:p>
          <a:pPr algn="l" rtl="0">
            <a:defRPr sz="1000"/>
          </a:pPr>
          <a:r>
            <a:rPr lang="en-CA" sz="1200" b="1" i="0" u="none" strike="noStrike" baseline="0">
              <a:solidFill>
                <a:srgbClr val="FFFFFF"/>
              </a:solidFill>
              <a:latin typeface="Book Antiqua"/>
            </a:rPr>
            <a:t>Rate Year:</a:t>
          </a:r>
        </a:p>
      </xdr:txBody>
    </xdr:sp>
    <xdr:clientData/>
  </xdr:twoCellAnchor>
  <xdr:twoCellAnchor>
    <xdr:from>
      <xdr:col>0</xdr:col>
      <xdr:colOff>38100</xdr:colOff>
      <xdr:row>0</xdr:row>
      <xdr:rowOff>9525</xdr:rowOff>
    </xdr:from>
    <xdr:to>
      <xdr:col>14</xdr:col>
      <xdr:colOff>361120</xdr:colOff>
      <xdr:row>11</xdr:row>
      <xdr:rowOff>152399</xdr:rowOff>
    </xdr:to>
    <xdr:grpSp>
      <xdr:nvGrpSpPr>
        <xdr:cNvPr id="25" name="Group 24"/>
        <xdr:cNvGrpSpPr/>
      </xdr:nvGrpSpPr>
      <xdr:grpSpPr>
        <a:xfrm>
          <a:off x="38100" y="9525"/>
          <a:ext cx="9457495" cy="1938337"/>
          <a:chOff x="9524" y="19051"/>
          <a:chExt cx="8537711" cy="1924049"/>
        </a:xfrm>
      </xdr:grpSpPr>
      <xdr:pic>
        <xdr:nvPicPr>
          <xdr:cNvPr id="26" name="Picture 2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4" y="19051"/>
            <a:ext cx="8537711" cy="1924049"/>
          </a:xfrm>
          <a:prstGeom prst="rect">
            <a:avLst/>
          </a:prstGeom>
          <a:ln>
            <a:noFill/>
          </a:ln>
          <a:effectLst>
            <a:softEdge rad="112500"/>
          </a:effectLst>
        </xdr:spPr>
      </xdr:pic>
      <xdr:pic>
        <xdr:nvPicPr>
          <xdr:cNvPr id="27" name="Picture 3"/>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28" name="Rectangle 27"/>
          <xdr:cNvSpPr/>
        </xdr:nvSpPr>
        <xdr:spPr>
          <a:xfrm>
            <a:off x="3427854" y="774198"/>
            <a:ext cx="4819422" cy="492628"/>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Revenue Requirement Workform</a:t>
            </a:r>
          </a:p>
        </xdr:txBody>
      </xdr:sp>
    </xdr:grpSp>
    <xdr:clientData/>
  </xdr:twoCellAnchor>
  <xdr:twoCellAnchor editAs="oneCell">
    <xdr:from>
      <xdr:col>14</xdr:col>
      <xdr:colOff>609599</xdr:colOff>
      <xdr:row>3</xdr:row>
      <xdr:rowOff>95249</xdr:rowOff>
    </xdr:from>
    <xdr:to>
      <xdr:col>16</xdr:col>
      <xdr:colOff>257174</xdr:colOff>
      <xdr:row>8</xdr:row>
      <xdr:rowOff>152399</xdr:rowOff>
    </xdr:to>
    <xdr:pic macro="[0]!printmacro">
      <xdr:nvPicPr>
        <xdr:cNvPr id="2" name="Picture 1"/>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143999" y="581024"/>
          <a:ext cx="866775" cy="866775"/>
        </a:xfrm>
        <a:prstGeom prst="rect">
          <a:avLst/>
        </a:prstGeom>
      </xdr:spPr>
    </xdr:pic>
    <xdr:clientData/>
  </xdr:twoCellAnchor>
  <xdr:twoCellAnchor>
    <xdr:from>
      <xdr:col>0</xdr:col>
      <xdr:colOff>19049</xdr:colOff>
      <xdr:row>31</xdr:row>
      <xdr:rowOff>38099</xdr:rowOff>
    </xdr:from>
    <xdr:to>
      <xdr:col>16</xdr:col>
      <xdr:colOff>485774</xdr:colOff>
      <xdr:row>38</xdr:row>
      <xdr:rowOff>123824</xdr:rowOff>
    </xdr:to>
    <xdr:sp macro="" textlink="">
      <xdr:nvSpPr>
        <xdr:cNvPr id="30" name="Text Box 50"/>
        <xdr:cNvSpPr txBox="1">
          <a:spLocks noChangeArrowheads="1"/>
        </xdr:cNvSpPr>
      </xdr:nvSpPr>
      <xdr:spPr bwMode="auto">
        <a:xfrm>
          <a:off x="19049" y="5791199"/>
          <a:ext cx="10220325" cy="1419225"/>
        </a:xfrm>
        <a:prstGeom prst="rect">
          <a:avLst/>
        </a:prstGeom>
        <a:noFill/>
        <a:ln>
          <a:noFill/>
        </a:ln>
        <a:effectLst>
          <a:softEdge rad="31750"/>
        </a:effectLst>
        <a:extLst/>
      </xdr:spPr>
      <xdr:txBody>
        <a:bodyPr vertOverflow="clip" wrap="square" lIns="27432" tIns="22860" rIns="0" bIns="0" anchor="t" upright="1"/>
        <a:lstStyle/>
        <a:p>
          <a:pPr algn="l" rtl="0">
            <a:defRPr sz="1000"/>
          </a:pPr>
          <a:r>
            <a:rPr lang="en-CA" sz="1000" b="1" i="1" u="none" strike="noStrike" baseline="0">
              <a:solidFill>
                <a:srgbClr val="000000"/>
              </a:solidFill>
              <a:latin typeface="Arial" pitchFamily="34" charset="0"/>
              <a:cs typeface="Arial" pitchFamily="34" charset="0"/>
            </a:rPr>
            <a:t>This Workbook Model is protected by copyright and is being made available to you solely for the purpose of filing your application.   You may use and copy this model for that purpose, and provide a copy of this model to any person that is advising or assisting you in that regard.  Except as indicated above, any copying, reproduction, publication, sale, adaptation, translation, modification, reverse engineering or other use or dissemination of this model without the express written consent of the Ontario Energy Board is prohibited.  If you provide a copy of this model to a person that is advising or assisting you in preparing the application or reviewing your draft rate order, you must ensure that the person understands and agrees to the restrictions noted above.</a:t>
          </a:r>
        </a:p>
        <a:p>
          <a:pPr algn="l" rtl="0">
            <a:defRPr sz="1000"/>
          </a:pPr>
          <a:endParaRPr lang="en-CA" sz="1000" b="1" i="1" u="none" strike="noStrike" baseline="0">
            <a:solidFill>
              <a:srgbClr val="000000"/>
            </a:solidFill>
            <a:latin typeface="Arial" pitchFamily="34" charset="0"/>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CA" sz="1000" b="1" i="1" baseline="0">
              <a:effectLst/>
              <a:latin typeface="Arial" pitchFamily="34" charset="0"/>
              <a:ea typeface="+mn-ea"/>
              <a:cs typeface="Arial" pitchFamily="34" charset="0"/>
            </a:rPr>
            <a:t>While this model has been provided in Excel format and is required to be filed with the applications, the onus remains on the applicant to ensure the accuracy of the data and the results.</a:t>
          </a:r>
          <a:endParaRPr lang="en-CA" sz="1000" b="1" i="1" u="none" strike="noStrike" baseline="0">
            <a:solidFill>
              <a:srgbClr val="000000"/>
            </a:solidFill>
            <a:latin typeface="Arial" pitchFamily="34" charset="0"/>
            <a:cs typeface="Arial" pitchFamily="34" charset="0"/>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607712</xdr:colOff>
      <xdr:row>12</xdr:row>
      <xdr:rowOff>10766</xdr:rowOff>
    </xdr:to>
    <xdr:grpSp>
      <xdr:nvGrpSpPr>
        <xdr:cNvPr id="2" name="Group 1"/>
        <xdr:cNvGrpSpPr/>
      </xdr:nvGrpSpPr>
      <xdr:grpSpPr>
        <a:xfrm>
          <a:off x="0" y="0"/>
          <a:ext cx="7018037" cy="1953866"/>
          <a:chOff x="7686675" y="3581400"/>
          <a:chExt cx="8857420" cy="1915766"/>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686675" y="3581400"/>
            <a:ext cx="8857420" cy="1915766"/>
          </a:xfrm>
          <a:prstGeom prst="rect">
            <a:avLst/>
          </a:prstGeom>
          <a:ln>
            <a:noFill/>
          </a:ln>
          <a:effectLst>
            <a:softEdge rad="112500"/>
          </a:effectLst>
        </xdr:spPr>
      </xdr:pic>
      <xdr:sp macro="" textlink="">
        <xdr:nvSpPr>
          <xdr:cNvPr id="4" name="Rectangle 3"/>
          <xdr:cNvSpPr/>
        </xdr:nvSpPr>
        <xdr:spPr>
          <a:xfrm>
            <a:off x="7823886" y="4073411"/>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Revenue Requirement Workform</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(RRWF) for 2015 Filers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892499" y="376987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8233046" y="37396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28575</xdr:colOff>
      <xdr:row>0</xdr:row>
      <xdr:rowOff>47625</xdr:rowOff>
    </xdr:from>
    <xdr:to>
      <xdr:col>14</xdr:col>
      <xdr:colOff>351595</xdr:colOff>
      <xdr:row>8</xdr:row>
      <xdr:rowOff>219074</xdr:rowOff>
    </xdr:to>
    <xdr:grpSp>
      <xdr:nvGrpSpPr>
        <xdr:cNvPr id="11" name="Group 10"/>
        <xdr:cNvGrpSpPr/>
      </xdr:nvGrpSpPr>
      <xdr:grpSpPr>
        <a:xfrm>
          <a:off x="28575" y="47625"/>
          <a:ext cx="8847895" cy="1952624"/>
          <a:chOff x="9524" y="19051"/>
          <a:chExt cx="8537711" cy="1924049"/>
        </a:xfrm>
      </xdr:grpSpPr>
      <xdr:pic>
        <xdr:nvPicPr>
          <xdr:cNvPr id="12" name="Picture 1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4" y="19051"/>
            <a:ext cx="8537711" cy="1924049"/>
          </a:xfrm>
          <a:prstGeom prst="rect">
            <a:avLst/>
          </a:prstGeom>
          <a:ln>
            <a:noFill/>
          </a:ln>
          <a:effectLst>
            <a:softEdge rad="112500"/>
          </a:effectLst>
        </xdr:spPr>
      </xdr:pic>
      <xdr:pic>
        <xdr:nvPicPr>
          <xdr:cNvPr id="13" name="Picture 3"/>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14" name="Rectangle 13"/>
          <xdr:cNvSpPr/>
        </xdr:nvSpPr>
        <xdr:spPr>
          <a:xfrm>
            <a:off x="3427854" y="774198"/>
            <a:ext cx="4819422" cy="492628"/>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Revenue Requirement Workform</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18</xdr:col>
      <xdr:colOff>84895</xdr:colOff>
      <xdr:row>7</xdr:row>
      <xdr:rowOff>266699</xdr:rowOff>
    </xdr:to>
    <xdr:grpSp>
      <xdr:nvGrpSpPr>
        <xdr:cNvPr id="11" name="Group 10"/>
        <xdr:cNvGrpSpPr/>
      </xdr:nvGrpSpPr>
      <xdr:grpSpPr>
        <a:xfrm>
          <a:off x="0" y="0"/>
          <a:ext cx="8857420" cy="1952624"/>
          <a:chOff x="9524" y="19051"/>
          <a:chExt cx="8537711" cy="1924049"/>
        </a:xfrm>
      </xdr:grpSpPr>
      <xdr:pic>
        <xdr:nvPicPr>
          <xdr:cNvPr id="12" name="Picture 1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4" y="19051"/>
            <a:ext cx="8537711" cy="1924049"/>
          </a:xfrm>
          <a:prstGeom prst="rect">
            <a:avLst/>
          </a:prstGeom>
          <a:ln>
            <a:noFill/>
          </a:ln>
          <a:effectLst>
            <a:softEdge rad="112500"/>
          </a:effectLst>
        </xdr:spPr>
      </xdr:pic>
      <xdr:pic>
        <xdr:nvPicPr>
          <xdr:cNvPr id="13" name="Picture 3"/>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14" name="Rectangle 13"/>
          <xdr:cNvSpPr/>
        </xdr:nvSpPr>
        <xdr:spPr>
          <a:xfrm>
            <a:off x="3427854" y="774198"/>
            <a:ext cx="4819422" cy="492628"/>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Revenue Requirement Workform</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22</xdr:col>
      <xdr:colOff>904875</xdr:colOff>
      <xdr:row>4</xdr:row>
      <xdr:rowOff>85724</xdr:rowOff>
    </xdr:to>
    <xdr:grpSp>
      <xdr:nvGrpSpPr>
        <xdr:cNvPr id="17" name="Group 16"/>
        <xdr:cNvGrpSpPr/>
      </xdr:nvGrpSpPr>
      <xdr:grpSpPr>
        <a:xfrm>
          <a:off x="0" y="0"/>
          <a:ext cx="9315450" cy="1952624"/>
          <a:chOff x="9524" y="19051"/>
          <a:chExt cx="8537711" cy="1924049"/>
        </a:xfrm>
      </xdr:grpSpPr>
      <xdr:pic>
        <xdr:nvPicPr>
          <xdr:cNvPr id="18" name="Picture 17"/>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4" y="19051"/>
            <a:ext cx="8537711" cy="1924049"/>
          </a:xfrm>
          <a:prstGeom prst="rect">
            <a:avLst/>
          </a:prstGeom>
          <a:ln>
            <a:noFill/>
          </a:ln>
          <a:effectLst>
            <a:softEdge rad="112500"/>
          </a:effectLst>
        </xdr:spPr>
      </xdr:pic>
      <xdr:pic>
        <xdr:nvPicPr>
          <xdr:cNvPr id="19" name="Picture 3"/>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20" name="Rectangle 19"/>
          <xdr:cNvSpPr/>
        </xdr:nvSpPr>
        <xdr:spPr>
          <a:xfrm>
            <a:off x="3427854" y="774198"/>
            <a:ext cx="4819422" cy="492628"/>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Revenue Requirement Workform</a:t>
            </a: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542925</xdr:colOff>
      <xdr:row>40</xdr:row>
      <xdr:rowOff>28575</xdr:rowOff>
    </xdr:from>
    <xdr:to>
      <xdr:col>5</xdr:col>
      <xdr:colOff>762000</xdr:colOff>
      <xdr:row>42</xdr:row>
      <xdr:rowOff>19050</xdr:rowOff>
    </xdr:to>
    <xdr:grpSp>
      <xdr:nvGrpSpPr>
        <xdr:cNvPr id="4113" name="Group 17"/>
        <xdr:cNvGrpSpPr>
          <a:grpSpLocks/>
        </xdr:cNvGrpSpPr>
      </xdr:nvGrpSpPr>
      <xdr:grpSpPr bwMode="auto">
        <a:xfrm>
          <a:off x="895350" y="7620000"/>
          <a:ext cx="2686050" cy="314325"/>
          <a:chOff x="614" y="394"/>
          <a:chExt cx="197" cy="36"/>
        </a:xfrm>
      </xdr:grpSpPr>
      <xdr:pic>
        <xdr:nvPicPr>
          <xdr:cNvPr id="4114" name="Picture 18"/>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75937" t="68555" r="12968" b="23633"/>
          <a:stretch>
            <a:fillRect/>
          </a:stretch>
        </xdr:blipFill>
        <xdr:spPr bwMode="auto">
          <a:xfrm>
            <a:off x="614" y="394"/>
            <a:ext cx="197" cy="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4115" name="Text Box 19"/>
          <xdr:cNvSpPr txBox="1">
            <a:spLocks noChangeArrowheads="1"/>
          </xdr:cNvSpPr>
        </xdr:nvSpPr>
        <xdr:spPr bwMode="auto">
          <a:xfrm>
            <a:off x="618" y="400"/>
            <a:ext cx="188" cy="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32004" rIns="27432" bIns="0" anchor="t" upright="1"/>
          <a:lstStyle/>
          <a:p>
            <a:pPr algn="ctr" rtl="0">
              <a:defRPr sz="1000"/>
            </a:pPr>
            <a:r>
              <a:rPr lang="en-CA" sz="1200" b="1" i="0" u="none" strike="noStrike" baseline="0">
                <a:solidFill>
                  <a:srgbClr val="000000"/>
                </a:solidFill>
                <a:latin typeface="+mj-lt"/>
              </a:rPr>
              <a:t>Other Revenues / Revenue Offsets</a:t>
            </a:r>
          </a:p>
        </xdr:txBody>
      </xdr:sp>
    </xdr:grpSp>
    <xdr:clientData/>
  </xdr:twoCellAnchor>
  <xdr:twoCellAnchor editAs="absolute">
    <xdr:from>
      <xdr:col>0</xdr:col>
      <xdr:colOff>0</xdr:colOff>
      <xdr:row>0</xdr:row>
      <xdr:rowOff>0</xdr:rowOff>
    </xdr:from>
    <xdr:to>
      <xdr:col>21</xdr:col>
      <xdr:colOff>981075</xdr:colOff>
      <xdr:row>9</xdr:row>
      <xdr:rowOff>104774</xdr:rowOff>
    </xdr:to>
    <xdr:grpSp>
      <xdr:nvGrpSpPr>
        <xdr:cNvPr id="14" name="Group 13"/>
        <xdr:cNvGrpSpPr/>
      </xdr:nvGrpSpPr>
      <xdr:grpSpPr>
        <a:xfrm>
          <a:off x="0" y="0"/>
          <a:ext cx="9563100" cy="1952624"/>
          <a:chOff x="9524" y="19051"/>
          <a:chExt cx="8537711" cy="1924049"/>
        </a:xfrm>
      </xdr:grpSpPr>
      <xdr:pic>
        <xdr:nvPicPr>
          <xdr:cNvPr id="15" name="Picture 1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4" y="19051"/>
            <a:ext cx="8537711" cy="1924049"/>
          </a:xfrm>
          <a:prstGeom prst="rect">
            <a:avLst/>
          </a:prstGeom>
          <a:ln>
            <a:noFill/>
          </a:ln>
          <a:effectLst>
            <a:softEdge rad="112500"/>
          </a:effectLst>
        </xdr:spPr>
      </xdr:pic>
      <xdr:pic>
        <xdr:nvPicPr>
          <xdr:cNvPr id="16" name="Picture 3"/>
          <xdr:cNvPicPr>
            <a:picLocks noChangeAspect="1" noChangeArrowheads="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17" name="Rectangle 16"/>
          <xdr:cNvSpPr/>
        </xdr:nvSpPr>
        <xdr:spPr>
          <a:xfrm>
            <a:off x="3427854" y="774198"/>
            <a:ext cx="4819422" cy="492628"/>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Revenue Requirement Workform</a:t>
            </a:r>
          </a:p>
        </xdr:txBody>
      </xdr:sp>
    </xdr:grpSp>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17</xdr:col>
      <xdr:colOff>542925</xdr:colOff>
      <xdr:row>7</xdr:row>
      <xdr:rowOff>161924</xdr:rowOff>
    </xdr:to>
    <xdr:grpSp>
      <xdr:nvGrpSpPr>
        <xdr:cNvPr id="11" name="Group 10"/>
        <xdr:cNvGrpSpPr/>
      </xdr:nvGrpSpPr>
      <xdr:grpSpPr>
        <a:xfrm>
          <a:off x="0" y="0"/>
          <a:ext cx="8572500" cy="1952624"/>
          <a:chOff x="9524" y="19051"/>
          <a:chExt cx="8537711" cy="1924049"/>
        </a:xfrm>
      </xdr:grpSpPr>
      <xdr:pic>
        <xdr:nvPicPr>
          <xdr:cNvPr id="12" name="Picture 1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4" y="19051"/>
            <a:ext cx="8537711" cy="1924049"/>
          </a:xfrm>
          <a:prstGeom prst="rect">
            <a:avLst/>
          </a:prstGeom>
          <a:ln>
            <a:noFill/>
          </a:ln>
          <a:effectLst>
            <a:softEdge rad="112500"/>
          </a:effectLst>
        </xdr:spPr>
      </xdr:pic>
      <xdr:pic>
        <xdr:nvPicPr>
          <xdr:cNvPr id="13" name="Picture 3"/>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14" name="Rectangle 13"/>
          <xdr:cNvSpPr/>
        </xdr:nvSpPr>
        <xdr:spPr>
          <a:xfrm>
            <a:off x="3427854" y="774198"/>
            <a:ext cx="4819422" cy="492628"/>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Revenue Requirement Workform</a:t>
            </a:r>
          </a:p>
        </xdr:txBody>
      </xdr:sp>
    </xdr:grpSp>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1</xdr:colOff>
      <xdr:row>0</xdr:row>
      <xdr:rowOff>0</xdr:rowOff>
    </xdr:from>
    <xdr:to>
      <xdr:col>20</xdr:col>
      <xdr:colOff>28575</xdr:colOff>
      <xdr:row>4</xdr:row>
      <xdr:rowOff>85724</xdr:rowOff>
    </xdr:to>
    <xdr:grpSp>
      <xdr:nvGrpSpPr>
        <xdr:cNvPr id="20" name="Group 19"/>
        <xdr:cNvGrpSpPr/>
      </xdr:nvGrpSpPr>
      <xdr:grpSpPr>
        <a:xfrm>
          <a:off x="1" y="0"/>
          <a:ext cx="8229599" cy="1952624"/>
          <a:chOff x="9524" y="19051"/>
          <a:chExt cx="8537711" cy="1924049"/>
        </a:xfrm>
      </xdr:grpSpPr>
      <xdr:pic>
        <xdr:nvPicPr>
          <xdr:cNvPr id="21" name="Picture 20"/>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4" y="19051"/>
            <a:ext cx="8537711" cy="1924049"/>
          </a:xfrm>
          <a:prstGeom prst="rect">
            <a:avLst/>
          </a:prstGeom>
          <a:ln>
            <a:noFill/>
          </a:ln>
          <a:effectLst>
            <a:softEdge rad="112500"/>
          </a:effectLst>
        </xdr:spPr>
      </xdr:pic>
      <xdr:pic>
        <xdr:nvPicPr>
          <xdr:cNvPr id="22" name="Picture 3"/>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23" name="Rectangle 22"/>
          <xdr:cNvSpPr/>
        </xdr:nvSpPr>
        <xdr:spPr>
          <a:xfrm>
            <a:off x="2690981" y="552314"/>
            <a:ext cx="4819422" cy="492628"/>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Revenue Requirement </a:t>
            </a:r>
          </a:p>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Workform</a:t>
            </a:r>
          </a:p>
        </xdr:txBody>
      </xdr:sp>
    </xdr:grpSp>
    <xdr:clientData/>
  </xdr:twoCellAnchor>
</xdr:wsDr>
</file>

<file path=xl/drawings/drawing8.xml><?xml version="1.0" encoding="utf-8"?>
<xdr:wsDr xmlns:xdr="http://schemas.openxmlformats.org/drawingml/2006/spreadsheetDrawing" xmlns:a="http://schemas.openxmlformats.org/drawingml/2006/main">
  <xdr:twoCellAnchor editAs="absolute">
    <xdr:from>
      <xdr:col>1</xdr:col>
      <xdr:colOff>95249</xdr:colOff>
      <xdr:row>0</xdr:row>
      <xdr:rowOff>0</xdr:rowOff>
    </xdr:from>
    <xdr:to>
      <xdr:col>15</xdr:col>
      <xdr:colOff>971550</xdr:colOff>
      <xdr:row>8</xdr:row>
      <xdr:rowOff>66674</xdr:rowOff>
    </xdr:to>
    <xdr:grpSp>
      <xdr:nvGrpSpPr>
        <xdr:cNvPr id="11" name="Group 10"/>
        <xdr:cNvGrpSpPr/>
      </xdr:nvGrpSpPr>
      <xdr:grpSpPr>
        <a:xfrm>
          <a:off x="180974" y="0"/>
          <a:ext cx="9372601" cy="1952624"/>
          <a:chOff x="9524" y="19051"/>
          <a:chExt cx="8537711" cy="1924049"/>
        </a:xfrm>
      </xdr:grpSpPr>
      <xdr:pic>
        <xdr:nvPicPr>
          <xdr:cNvPr id="12" name="Picture 1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4" y="19051"/>
            <a:ext cx="8537711" cy="1924049"/>
          </a:xfrm>
          <a:prstGeom prst="rect">
            <a:avLst/>
          </a:prstGeom>
          <a:ln>
            <a:noFill/>
          </a:ln>
          <a:effectLst>
            <a:softEdge rad="112500"/>
          </a:effectLst>
        </xdr:spPr>
      </xdr:pic>
      <xdr:pic>
        <xdr:nvPicPr>
          <xdr:cNvPr id="13" name="Picture 3"/>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14" name="Rectangle 13"/>
          <xdr:cNvSpPr/>
        </xdr:nvSpPr>
        <xdr:spPr>
          <a:xfrm>
            <a:off x="3427854" y="774198"/>
            <a:ext cx="4819422" cy="492628"/>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Revenue Requirement Workform</a:t>
            </a:r>
          </a:p>
        </xdr:txBody>
      </xdr:sp>
    </xdr:grpSp>
    <xdr:clientData/>
  </xdr:twoCellAnchor>
</xdr:wsDr>
</file>

<file path=xl/drawings/drawing9.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17</xdr:col>
      <xdr:colOff>85725</xdr:colOff>
      <xdr:row>9</xdr:row>
      <xdr:rowOff>95249</xdr:rowOff>
    </xdr:to>
    <xdr:grpSp>
      <xdr:nvGrpSpPr>
        <xdr:cNvPr id="11" name="Group 10"/>
        <xdr:cNvGrpSpPr/>
      </xdr:nvGrpSpPr>
      <xdr:grpSpPr>
        <a:xfrm>
          <a:off x="0" y="0"/>
          <a:ext cx="8039100" cy="1952624"/>
          <a:chOff x="9524" y="19051"/>
          <a:chExt cx="8537711" cy="1924049"/>
        </a:xfrm>
      </xdr:grpSpPr>
      <xdr:pic>
        <xdr:nvPicPr>
          <xdr:cNvPr id="12" name="Picture 1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4" y="19051"/>
            <a:ext cx="8537711" cy="1924049"/>
          </a:xfrm>
          <a:prstGeom prst="rect">
            <a:avLst/>
          </a:prstGeom>
          <a:ln>
            <a:noFill/>
          </a:ln>
          <a:effectLst>
            <a:softEdge rad="112500"/>
          </a:effectLst>
        </xdr:spPr>
      </xdr:pic>
      <xdr:pic>
        <xdr:nvPicPr>
          <xdr:cNvPr id="13" name="Picture 3"/>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14" name="Rectangle 13"/>
          <xdr:cNvSpPr/>
        </xdr:nvSpPr>
        <xdr:spPr>
          <a:xfrm>
            <a:off x="3427854" y="774198"/>
            <a:ext cx="4819422" cy="492628"/>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Revenue Requirement Workform</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ontarioenergyboard.ca/OEB/_Documents/2013EDR/Final%202013%20IRM%20RG.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Market%20Operations\Department%20Applications\Reports\Rates\Electricity%20Rates%20-%20Billing%20Determinants%20Database\2012%20IRM%20DEVELOPMENT\2012%20IRM%20MODEL%20(2ND%20AND%203R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2. Table of Contents"/>
      <sheetName val="3. Rate Class Selection"/>
      <sheetName val="4. Current Tariff Schedule"/>
      <sheetName val="4. Hidden"/>
      <sheetName val="5. 2013 Continuity Schedule"/>
      <sheetName val="6. Billing Det. for Def-Var"/>
      <sheetName val="6. hidden"/>
      <sheetName val="7. Allocating Def-Var Balances"/>
      <sheetName val="8. Calculation of Def-Var RR"/>
      <sheetName val="9. Rev2Cost_GDPIPI"/>
      <sheetName val="9. hidden"/>
      <sheetName val="10. Other Charges &amp; LF"/>
      <sheetName val="11. Proposed Rates"/>
      <sheetName val="12. Summary Sheet"/>
      <sheetName val="13. Final Tariff Schedule"/>
      <sheetName val="14. Bill Impacts"/>
      <sheetName val="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1">
          <cell r="AM1" t="str">
            <v>Algoma Power Inc.</v>
          </cell>
        </row>
        <row r="2">
          <cell r="AM2" t="str">
            <v>Atikokan Hydro Inc.</v>
          </cell>
        </row>
        <row r="3">
          <cell r="AM3" t="str">
            <v>Attawapiskat Power Corporation</v>
          </cell>
        </row>
        <row r="4">
          <cell r="AM4" t="str">
            <v>Bluewater Power Distribution Corp.</v>
          </cell>
        </row>
        <row r="5">
          <cell r="AM5" t="str">
            <v>Brant County Power</v>
          </cell>
        </row>
        <row r="6">
          <cell r="AM6" t="str">
            <v>Brantford Power Inc.</v>
          </cell>
        </row>
        <row r="7">
          <cell r="AM7" t="str">
            <v>Burlington Hydro Inc.</v>
          </cell>
        </row>
        <row r="8">
          <cell r="AM8" t="str">
            <v>Cambridge and North Dumfries Hydro</v>
          </cell>
        </row>
        <row r="9">
          <cell r="AM9" t="str">
            <v>Canadian Niagara Power Inc. – Eastern Ontario Power/Fort Erie/Port Colborne</v>
          </cell>
        </row>
        <row r="10">
          <cell r="AM10" t="str">
            <v>Centre Wellington Hydro Ltd.</v>
          </cell>
        </row>
        <row r="11">
          <cell r="AM11" t="str">
            <v>Chapleau Public Utilities Corporation</v>
          </cell>
        </row>
        <row r="12">
          <cell r="AM12" t="str">
            <v>COLLUS Power Corp.</v>
          </cell>
        </row>
        <row r="13">
          <cell r="AM13" t="str">
            <v>Cooperative Hydro Embrun Inc.</v>
          </cell>
        </row>
        <row r="14">
          <cell r="AM14" t="str">
            <v>E.L.K. Energy Inc.</v>
          </cell>
        </row>
        <row r="15">
          <cell r="AM15" t="str">
            <v>Enersource Hydro Mississauga Inc.</v>
          </cell>
        </row>
        <row r="16">
          <cell r="AM16" t="str">
            <v>Entegrus Powerlines Inc.</v>
          </cell>
        </row>
        <row r="17">
          <cell r="AM17" t="str">
            <v>ENWIN Utilities Ltd.</v>
          </cell>
        </row>
        <row r="18">
          <cell r="AM18" t="str">
            <v>Erie Thames Powerlines Corp.</v>
          </cell>
        </row>
        <row r="19">
          <cell r="AM19" t="str">
            <v>Espanola Regional Hydro Distribution Corporation</v>
          </cell>
        </row>
        <row r="20">
          <cell r="AM20" t="str">
            <v>Essex Powerlines Corporation</v>
          </cell>
        </row>
        <row r="21">
          <cell r="AM21" t="str">
            <v>Festival Hydro Inc.</v>
          </cell>
        </row>
        <row r="22">
          <cell r="AM22" t="str">
            <v>Fort Albany Power Corporation</v>
          </cell>
        </row>
        <row r="23">
          <cell r="AM23" t="str">
            <v>Fort Frances Power Corporation</v>
          </cell>
        </row>
        <row r="24">
          <cell r="AM24" t="str">
            <v>Greater Sudbury Hydro Inc.</v>
          </cell>
        </row>
        <row r="25">
          <cell r="AM25" t="str">
            <v>Grimsby Power Inc.</v>
          </cell>
        </row>
        <row r="26">
          <cell r="AM26" t="str">
            <v>Guelph Hydro Electric Systems Inc.</v>
          </cell>
        </row>
        <row r="27">
          <cell r="AM27" t="str">
            <v>Haldimand County Hydro Inc.</v>
          </cell>
        </row>
        <row r="28">
          <cell r="AM28" t="str">
            <v>Halton Hills Hydro Inc.</v>
          </cell>
        </row>
        <row r="29">
          <cell r="AM29" t="str">
            <v>Hearst Power Distribution Co. Ltd.</v>
          </cell>
        </row>
        <row r="30">
          <cell r="AM30" t="str">
            <v>Horizon Utilities Corporation</v>
          </cell>
        </row>
        <row r="31">
          <cell r="AM31" t="str">
            <v>Hydro 2000 Inc.</v>
          </cell>
        </row>
        <row r="32">
          <cell r="AM32" t="str">
            <v>Hydro Hawkesbury Inc.</v>
          </cell>
        </row>
        <row r="33">
          <cell r="AM33" t="str">
            <v>Hydro One Brampton Networks Inc.</v>
          </cell>
        </row>
        <row r="34">
          <cell r="AM34" t="str">
            <v>Hydro One Networks Inc.</v>
          </cell>
        </row>
        <row r="35">
          <cell r="AM35" t="str">
            <v>Hydro One Remote Communities Inc.</v>
          </cell>
        </row>
        <row r="36">
          <cell r="AM36" t="str">
            <v>Hydro Ottawa Limited</v>
          </cell>
        </row>
        <row r="37">
          <cell r="AM37" t="str">
            <v>Innisfil Hydro Dist. Systems Limited</v>
          </cell>
        </row>
        <row r="38">
          <cell r="AM38" t="str">
            <v>Kashechewan Power Corporation</v>
          </cell>
        </row>
        <row r="39">
          <cell r="AM39" t="str">
            <v>Kenora Hydro Electric Corporation Ltd.</v>
          </cell>
        </row>
        <row r="40">
          <cell r="AM40" t="str">
            <v>Kingston Hydro Corporation</v>
          </cell>
        </row>
        <row r="41">
          <cell r="AM41" t="str">
            <v>Kitchener-Wilmot Hydro Inc.</v>
          </cell>
        </row>
        <row r="42">
          <cell r="AM42" t="str">
            <v>Lakefront Utilities Inc.</v>
          </cell>
        </row>
        <row r="43">
          <cell r="AM43" t="str">
            <v>Lakeland Power Distribution Ltd.</v>
          </cell>
        </row>
        <row r="44">
          <cell r="AM44" t="str">
            <v>London Hydro Inc.</v>
          </cell>
        </row>
        <row r="45">
          <cell r="AM45" t="str">
            <v>Midland Power Utility Corporation</v>
          </cell>
        </row>
        <row r="46">
          <cell r="AM46" t="str">
            <v>Milton Hydro Distribution Inc.</v>
          </cell>
        </row>
        <row r="47">
          <cell r="AM47" t="str">
            <v>Newmarket – Tay Power Distribution Ltd.</v>
          </cell>
        </row>
        <row r="48">
          <cell r="AM48" t="str">
            <v>Niagara Peninsula Energy Inc.</v>
          </cell>
        </row>
        <row r="49">
          <cell r="AM49" t="str">
            <v>Niagara-on-the-Lake Hydro Inc.</v>
          </cell>
        </row>
        <row r="50">
          <cell r="AM50" t="str">
            <v>Norfolk Power Distribution Ltd.</v>
          </cell>
        </row>
        <row r="51">
          <cell r="AM51" t="str">
            <v>North Bay Hydro Distribution Limited</v>
          </cell>
        </row>
        <row r="52">
          <cell r="AM52" t="str">
            <v>Northern Ontario Wires Inc.</v>
          </cell>
        </row>
        <row r="53">
          <cell r="AM53" t="str">
            <v>Oakville Hydro Distribution Inc.</v>
          </cell>
        </row>
        <row r="54">
          <cell r="AM54" t="str">
            <v>Orangeville Hydro Limited</v>
          </cell>
        </row>
        <row r="55">
          <cell r="AM55" t="str">
            <v>Orillia Power Distribution Corp.</v>
          </cell>
        </row>
        <row r="56">
          <cell r="AM56" t="str">
            <v>Oshawa PUC Networks Inc.</v>
          </cell>
        </row>
        <row r="57">
          <cell r="AM57" t="str">
            <v>Ottawa River Power Corporation</v>
          </cell>
        </row>
        <row r="58">
          <cell r="AM58" t="str">
            <v>Parry Sound Power Corporation</v>
          </cell>
        </row>
        <row r="59">
          <cell r="AM59" t="str">
            <v>Peterborough Distribution Inc.</v>
          </cell>
        </row>
        <row r="60">
          <cell r="AM60" t="str">
            <v>PowerStream Inc.</v>
          </cell>
        </row>
        <row r="61">
          <cell r="AM61" t="str">
            <v>PUC Distribution Inc.</v>
          </cell>
        </row>
        <row r="62">
          <cell r="AM62" t="str">
            <v>Renfrew Hydro Inc.</v>
          </cell>
        </row>
        <row r="63">
          <cell r="AM63" t="str">
            <v>Rideau St. Lawrence Distribution Inc.</v>
          </cell>
        </row>
        <row r="64">
          <cell r="AM64" t="str">
            <v>St. Thomas Energy Inc.</v>
          </cell>
        </row>
        <row r="65">
          <cell r="AM65" t="str">
            <v>Sioux Lookout Hydro Inc.</v>
          </cell>
        </row>
        <row r="66">
          <cell r="AM66" t="str">
            <v>Thunder Bay Hydro Electricity Distribution</v>
          </cell>
        </row>
        <row r="67">
          <cell r="AM67" t="str">
            <v>Tillsonburg Hydro Inc.</v>
          </cell>
        </row>
        <row r="68">
          <cell r="AM68" t="str">
            <v>Toronto Hydro-Electric System Limited</v>
          </cell>
        </row>
        <row r="69">
          <cell r="AM69" t="str">
            <v>Veridian Connections Inc.</v>
          </cell>
        </row>
        <row r="70">
          <cell r="AM70" t="str">
            <v>Wasaga Distribution Inc.</v>
          </cell>
        </row>
        <row r="71">
          <cell r="AM71" t="str">
            <v>Waterloo North Hydro Inc.</v>
          </cell>
        </row>
        <row r="72">
          <cell r="AM72" t="str">
            <v>Welland Hydro Electric System Corp.</v>
          </cell>
        </row>
        <row r="73">
          <cell r="AM73" t="str">
            <v>Wellington North Power Inc.</v>
          </cell>
        </row>
        <row r="74">
          <cell r="AM74" t="str">
            <v>West Coast Huron Energy Inc.</v>
          </cell>
        </row>
        <row r="75">
          <cell r="AM75" t="str">
            <v>Westario Power Inc.</v>
          </cell>
        </row>
        <row r="76">
          <cell r="AM76" t="str">
            <v>Whitby Hydro Electric Corporation</v>
          </cell>
        </row>
        <row r="77">
          <cell r="AM77" t="str">
            <v>Woodstock Hydro Services Inc.</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
      <sheetName val="2. Applicable Worksheets"/>
      <sheetName val="3. Rate Classes"/>
      <sheetName val="hidden1"/>
      <sheetName val="4. Most Recent Tariff"/>
    </sheetNames>
    <sheetDataSet>
      <sheetData sheetId="0"/>
      <sheetData sheetId="1" refreshError="1"/>
      <sheetData sheetId="2"/>
      <sheetData sheetId="3">
        <row r="1">
          <cell r="D1" t="str">
            <v>Applicable only for Non-RPP Customers</v>
          </cell>
        </row>
        <row r="2">
          <cell r="D2" t="str">
            <v>Deferral / Variance Account Rate Rider</v>
          </cell>
        </row>
        <row r="3">
          <cell r="D3" t="str">
            <v>Deferral / Variance Account Rate Rider (excl GA)</v>
          </cell>
          <cell r="J3" t="str">
            <v>$</v>
          </cell>
        </row>
        <row r="4">
          <cell r="D4" t="str">
            <v>Deferral / Variance Account Rate Rider (GA) – if applicable</v>
          </cell>
          <cell r="J4" t="str">
            <v>$/kWh</v>
          </cell>
        </row>
        <row r="5">
          <cell r="D5" t="str">
            <v>Distribution Volumetric Rate</v>
          </cell>
          <cell r="J5" t="str">
            <v>$/kW</v>
          </cell>
        </row>
        <row r="6">
          <cell r="D6" t="str">
            <v>Distribution Wheeling Service Rate</v>
          </cell>
          <cell r="J6" t="str">
            <v>$/kVA</v>
          </cell>
        </row>
        <row r="7">
          <cell r="D7" t="str">
            <v>General Service 1,500 to 4,999 kW customer</v>
          </cell>
        </row>
        <row r="8">
          <cell r="D8" t="str">
            <v>General Service 50 to 1,499 kW customer</v>
          </cell>
        </row>
        <row r="9">
          <cell r="D9" t="str">
            <v>General Service Large Use customer</v>
          </cell>
        </row>
        <row r="10">
          <cell r="D10" t="str">
            <v>Green Energy Act Initiatives Funding Adder</v>
          </cell>
        </row>
        <row r="11">
          <cell r="D11" t="str">
            <v>Lost Revenue Adjustment Mechanism (LRAM) Recovery/Shared Savings Mechanism (SSM) Recovery Rate Rider – effective until April 30, 2012</v>
          </cell>
        </row>
        <row r="12">
          <cell r="D12" t="str">
            <v>Lost Revenue Adjustment Mechanism (LRAM) Recovery/Shared Savings Mechanism (SSM) Recovery Rate Rider (2011) – effective until April 30, 2014</v>
          </cell>
        </row>
        <row r="13">
          <cell r="D13" t="str">
            <v>Low Voltage Service Rate</v>
          </cell>
        </row>
        <row r="14">
          <cell r="D14" t="str">
            <v>Low Voltage Volumetric Rate</v>
          </cell>
        </row>
        <row r="15">
          <cell r="D15" t="str">
            <v>LRAM &amp; SSM Rate Rider</v>
          </cell>
        </row>
        <row r="16">
          <cell r="D16" t="str">
            <v>Minimum Distribution Charge – per KW of maximum billing demand in the previous 11 months</v>
          </cell>
        </row>
        <row r="17">
          <cell r="D17" t="str">
            <v>Monthly Distribution Wheeling Service Rate – Dedicated LV Line</v>
          </cell>
        </row>
        <row r="18">
          <cell r="D18" t="str">
            <v>Monthly Distribution Wheeling Service Rate – Hydro One Networks</v>
          </cell>
        </row>
        <row r="19">
          <cell r="D19" t="str">
            <v>Monthly Distribution Wheeling Service Rate – Shared LV Line</v>
          </cell>
        </row>
        <row r="20">
          <cell r="D20" t="str">
            <v>Monthly Distribution Wheeling Service Rate – Waterloo North Hydro</v>
          </cell>
        </row>
        <row r="21">
          <cell r="D21" t="str">
            <v>Rate Rider for Deferral/Variance Account Disposition – effective until April 30, 2014</v>
          </cell>
        </row>
        <row r="22">
          <cell r="D22" t="str">
            <v>Rate Rider for Deferral/Variance Account Disposition (2009) – effective until April 30, 2013</v>
          </cell>
        </row>
        <row r="23">
          <cell r="D23" t="str">
            <v>Rate Rider for Deferral/Variance Account Disposition (2010) – effective until April 30, 2012</v>
          </cell>
        </row>
        <row r="24">
          <cell r="D24" t="str">
            <v>Rate Rider for Deferral/Variance Account Disposition (2010) – effective until April 30, 2012 Applicable only for Wholesale Market Participants</v>
          </cell>
        </row>
        <row r="25">
          <cell r="D25" t="str">
            <v>Rate Rider for Deferral/Variance Account Disposition (2010) – effective until April 30, 2013</v>
          </cell>
        </row>
        <row r="26">
          <cell r="D26" t="str">
            <v>Rate Rider for Deferral/Variance Account Disposition (2010) – effective until April 30, 2014</v>
          </cell>
        </row>
        <row r="27">
          <cell r="D27" t="str">
            <v>Rate Rider for Deferral/Variance Account Disposition (2010) – effective until January 31, 2012</v>
          </cell>
        </row>
        <row r="28">
          <cell r="D28" t="str">
            <v>Rate Rider for Deferral/Variance Account Disposition (2011) – effective until April 30, 2012</v>
          </cell>
        </row>
        <row r="29">
          <cell r="D29" t="str">
            <v>Rate Rider for Deferral/Variance Account Disposition (2011) – effective until April 30, 2012 (per connection)</v>
          </cell>
        </row>
        <row r="30">
          <cell r="D30" t="str">
            <v>Rate Rider for Deferral/Variance Account Disposition (2011) – effective until April 30, 2013</v>
          </cell>
        </row>
        <row r="31">
          <cell r="D31" t="str">
            <v>Rate Rider for Deferral/Variance Account Disposition (2011) – effective until April 30, 2013 Applicable only for Wholesale Market Participants</v>
          </cell>
        </row>
        <row r="32">
          <cell r="D32" t="str">
            <v>Rate Rider for Deferral/Variance Account Disposition (2011) – effective until April 30, 2014</v>
          </cell>
        </row>
        <row r="33">
          <cell r="D33" t="str">
            <v>Rate Rider for Deferral/Variance Account Disposition (2011) – effective until April 30, 2015</v>
          </cell>
        </row>
        <row r="34">
          <cell r="D34" t="str">
            <v>Rate Rider for Deferral/Variance Account Disposition (2011) – effective until December 31, 2011</v>
          </cell>
        </row>
        <row r="35">
          <cell r="D35" t="str">
            <v>Rate Rider for Global Adjustment Sub-Account (2010) – effective until April 30, 2012 Applicable only for Non-RPP Customers</v>
          </cell>
        </row>
        <row r="36">
          <cell r="D36" t="str">
            <v>Rate Rider for Global Adjustment Sub-Account (2011) – effective until April 30, 2012 Applicable only for Non-RPP Customers</v>
          </cell>
        </row>
        <row r="37">
          <cell r="D37" t="str">
            <v>Rate Rider for Global Adjustment Sub-Account Disposition – effective until April 30, 2012 Applicable only for Non-RPP Customers</v>
          </cell>
        </row>
        <row r="38">
          <cell r="D38" t="str">
            <v>Rate Rider for Global Adjustment Sub-Account Disposition – effective until April 30, 2014 Applicable only for Non-RPP Customers</v>
          </cell>
        </row>
        <row r="39">
          <cell r="D39" t="str">
            <v>Rate Rider for Global Adjustment Sub-Account Disposition (2010 credit) – effective until April 30, 2012 Applicable only for Non-RPP Customers</v>
          </cell>
        </row>
        <row r="40">
          <cell r="D40" t="str">
            <v>Rate Rider for Global Adjustment Sub-Account Disposition (2010 recalculated) – effective until April 30, 2013 Applicable only for Non-RPP Customers</v>
          </cell>
        </row>
        <row r="41">
          <cell r="D41" t="str">
            <v>Rate Rider for Global Adjustment Sub-Account Disposition (2010) – effective until April 30, 2012 Applicable only for Non-RPP Customers</v>
          </cell>
        </row>
        <row r="42">
          <cell r="D42" t="str">
            <v>Rate Rider for Global Adjustment Sub-Account Disposition (2010) – effective until April 30, 2013 Applicable only for Non-RPP Customers</v>
          </cell>
        </row>
        <row r="43">
          <cell r="D43" t="str">
            <v>Rate Rider for Global Adjustment Sub-Account Disposition (2010) – effective until April 30, 2014 Applicable only for Non-RPP Customers</v>
          </cell>
        </row>
        <row r="44">
          <cell r="D44" t="str">
            <v>Rate Rider for Global Adjustment Sub-Account Disposition (2011) – effective until April 30, 2012 Applicable only for Non-RPP Customers</v>
          </cell>
        </row>
        <row r="45">
          <cell r="D45" t="str">
            <v>Rate Rider for Global Adjustment Sub-Account Disposition (2011) – effective until April 30, 2012 Applicable only for Non-RPP Customers (per connection)</v>
          </cell>
        </row>
        <row r="46">
          <cell r="D46" t="str">
            <v>Rate Rider for Global Adjustment Sub-Account Disposition (2011) – effective until April 30, 2013 Applicable only for Non-RPP Customers</v>
          </cell>
        </row>
        <row r="47">
          <cell r="D47" t="str">
            <v>Rate Rider for Global Adjustment Sub-Account Disposition (2011) – effective until April 30, 2013 Applicable only for Non-RPP Customers and excluding Wholesale Market Participants</v>
          </cell>
        </row>
        <row r="48">
          <cell r="D48" t="str">
            <v>Rate Rider for Global Adjustment Sub-Account Disposition (2011) – effective until April 30, 2015 Applicable only for Non-RPP Customers</v>
          </cell>
        </row>
        <row r="49">
          <cell r="D49" t="str">
            <v>Rate Rider for Lost Revenue Adjustment Mechanism (LRAM) Recovery – effective until April 30, 2012</v>
          </cell>
        </row>
        <row r="50">
          <cell r="D50" t="str">
            <v>Rate Rider for Lost Revenue Adjustment Mechanism (LRAM) Recovery/Shared Savings Mechanism (SSM) Recovery – effective until April 30, 2012</v>
          </cell>
        </row>
        <row r="51">
          <cell r="D51" t="str">
            <v>Rate Rider for Lost Revenue Adjustment Mechanism (LRAM) Recovery/Shared Savings Mechanism (SSM) Recovery – effective until April 30, 2012</v>
          </cell>
        </row>
        <row r="52">
          <cell r="D52" t="str">
            <v>Rate Rider for Lost Revenue Adjustment Mechanism (LRAM) Recovery/Shared Savings Mechanism (SSM) Recovery – effective until April 30, 2013</v>
          </cell>
        </row>
        <row r="53">
          <cell r="D53" t="str">
            <v>Rate Rider for Lost Revenue Adjustment Mechanism (LRAM) Recovery/Shared Savings Mechanism (SSM) Recovery – effective until April 30, 2014</v>
          </cell>
        </row>
        <row r="54">
          <cell r="D54" t="str">
            <v>Rate Rider for Lost Revenue Adjustment Mechanism (LRAM) Recovery/Shared Savings Mechanism (SSM) Recovery – effective until December 31, 2012</v>
          </cell>
        </row>
        <row r="55">
          <cell r="D55" t="str">
            <v>Rate Rider for Lost Revenue Adjustment Mechanism (LRAM) Recovery/Shared Savings Mechanism (SSM) Recovery (2009) – effective until April 30, 2012</v>
          </cell>
        </row>
        <row r="56">
          <cell r="D56" t="str">
            <v>Rate Rider for Lost Revenue Adjustment Mechanism (LRAM) Recovery/Shared Savings Mechanism (SSM) Recovery (2011) – effective until April 30, 2012</v>
          </cell>
        </row>
        <row r="57">
          <cell r="D57" t="str">
            <v>Rate Rider for Lost Revenue Adjustment Mechanism (LRAM) Recovery/Shared Savings Mechanism (SSM) Recovery (2011) – effective until April 30, 2013</v>
          </cell>
        </row>
        <row r="58">
          <cell r="D58" t="str">
            <v>Rate Rider for Recalculated Deferral/Variance Account Disposition (2010) – effective until April 30, 2013</v>
          </cell>
        </row>
        <row r="59">
          <cell r="D59" t="str">
            <v>Rate Rider for Recovery of Foregone Revenue – effective until December 31, 2011</v>
          </cell>
        </row>
        <row r="60">
          <cell r="D60" t="str">
            <v>Rate Rider for Recovery of Incremental Capital Costs – effective until April 30, 2012</v>
          </cell>
        </row>
        <row r="61">
          <cell r="D61" t="str">
            <v>Rate Rider for Recovery of Incremental Capital Costs – effective until April 30, 2013</v>
          </cell>
        </row>
        <row r="62">
          <cell r="D62" t="str">
            <v>Rate Rider for Recovery of Late Payment Penalty Litigation Costs – effective until April 30, 2012</v>
          </cell>
        </row>
        <row r="63">
          <cell r="D63" t="str">
            <v>Rate Rider for Recovery of Late Payment Penalty Litigation Costs – effective until April 30, 2012 (per connection)</v>
          </cell>
        </row>
        <row r="64">
          <cell r="D64" t="str">
            <v>Rate Rider for Recovery of Late Payment Penalty Litigation Costs (per customer) – effective until April 30, 2012</v>
          </cell>
        </row>
        <row r="65">
          <cell r="D65" t="str">
            <v>Rate Rider for Recovery of Stranded Meter Assets – effective until December 31, 2012</v>
          </cell>
        </row>
        <row r="66">
          <cell r="D66" t="str">
            <v>Rate Rider for Regulatory Asset Recovery – effective until April 30, 2012</v>
          </cell>
        </row>
        <row r="67">
          <cell r="D67" t="str">
            <v>Rate Rider for Regulatory Asset Recovery – effective until April 30, 2013</v>
          </cell>
        </row>
        <row r="68">
          <cell r="D68" t="str">
            <v>Rate Rider for Return of Revenue Sufficiency – effective until December 31, 2011</v>
          </cell>
        </row>
        <row r="69">
          <cell r="D69" t="str">
            <v>Rate Rider for Return of Transformer Ownership Allowance Sufficiency – effective until December 31, 2011</v>
          </cell>
        </row>
        <row r="70">
          <cell r="D70" t="str">
            <v>Rate Rider for Smart Meter Incremental Revenue Requirement – in effect until the effective date of the next cost of service application</v>
          </cell>
        </row>
        <row r="71">
          <cell r="D71" t="str">
            <v>Rate Rider for Smart Meter Variance Account Disposition – effective until April 30, 2012</v>
          </cell>
        </row>
        <row r="72">
          <cell r="D72" t="str">
            <v>Rate Rider for Smart Meter Variance Account Disposition – effective until December 31, 2011</v>
          </cell>
        </row>
        <row r="73">
          <cell r="D73" t="str">
            <v>Rate Rider for Tax Change – effective until April 20, 2012</v>
          </cell>
        </row>
        <row r="74">
          <cell r="D74" t="str">
            <v>Rate Rider for Tax Change – effective until April 30, 2012</v>
          </cell>
        </row>
        <row r="75">
          <cell r="D75" t="str">
            <v>Rate Rider for Tax Change – effective until April 30, 2012 (per connection)</v>
          </cell>
        </row>
        <row r="76">
          <cell r="D76" t="str">
            <v>Rate Rider for Tax Change – Hydro One Networks - effective until April 30, 2012</v>
          </cell>
        </row>
        <row r="77">
          <cell r="D77" t="str">
            <v>Rate Rider for Tax Change – Waterloo North Hydro – effective until April 30, 2012</v>
          </cell>
        </row>
        <row r="78">
          <cell r="D78" t="str">
            <v>Rate Rider for Tax Change Dedicated LV Line – effective until April 30, 2012</v>
          </cell>
        </row>
        <row r="79">
          <cell r="D79" t="str">
            <v>Rate Rider for Tax Change Shared LV Line – effective until April 30, 2012</v>
          </cell>
        </row>
        <row r="80">
          <cell r="D80" t="str">
            <v>Rate Rider for Z-Factor Recovery – Effective until April 30, 2012</v>
          </cell>
        </row>
        <row r="81">
          <cell r="D81" t="str">
            <v>Retail Transmission Rate – Line and Transformation Connection Service Rate</v>
          </cell>
        </row>
        <row r="82">
          <cell r="D82" t="str">
            <v>Retail Transmission Rate – Line and Transformation Connection Service Rate – Interval Metered</v>
          </cell>
        </row>
        <row r="83">
          <cell r="D83" t="str">
            <v>Retail Transmission Rate – Line and Transformation Connection Service Rate – Interval Metered &lt; 1,000 kW</v>
          </cell>
        </row>
        <row r="84">
          <cell r="D84" t="str">
            <v>Retail Transmission Rate – Line and Transformation Connection Service Rate – Interval Metered &gt; 1,000 kW</v>
          </cell>
        </row>
        <row r="85">
          <cell r="D85" t="str">
            <v>Retail Transmission Rate – Line and Transformation Connection Service Rate – Interval Metered ≥ 1,000kW</v>
          </cell>
        </row>
        <row r="86">
          <cell r="D86" t="str">
            <v>Retail Transmission Rate – Line Connection Service Rate</v>
          </cell>
        </row>
        <row r="87">
          <cell r="D87" t="str">
            <v>Retail Transmission Rate – Network Service Rate</v>
          </cell>
        </row>
        <row r="88">
          <cell r="D88" t="str">
            <v>Retail Transmission Rate – Network Service Rate – Interval Metered</v>
          </cell>
        </row>
        <row r="89">
          <cell r="D89" t="str">
            <v>Retail Transmission Rate – Network Service Rate – Interval Metered &lt; 1,000 kW Rate</v>
          </cell>
        </row>
        <row r="90">
          <cell r="D90" t="str">
            <v>Retail Transmission Rate – Network Service Rate – Interval Metered &gt; 1,000 kW</v>
          </cell>
        </row>
        <row r="91">
          <cell r="D91" t="str">
            <v>Retail Transmission Rate – Network Service Rate – Interval Metered ≥ 1,000 kW</v>
          </cell>
        </row>
        <row r="92">
          <cell r="D92" t="str">
            <v>Retail Transmission Rate – Transformation Connection Service Rate</v>
          </cell>
        </row>
        <row r="93">
          <cell r="D93" t="str">
            <v>Service Charge</v>
          </cell>
        </row>
        <row r="94">
          <cell r="D94" t="str">
            <v>Service Charge (Based on 30 day month)</v>
          </cell>
        </row>
        <row r="95">
          <cell r="D95" t="str">
            <v>Service Charge (per account)</v>
          </cell>
        </row>
        <row r="96">
          <cell r="D96" t="str">
            <v>Service Charge (per connection)</v>
          </cell>
        </row>
        <row r="97">
          <cell r="D97" t="str">
            <v>Service Charge (per customer)</v>
          </cell>
        </row>
        <row r="98">
          <cell r="D98" t="str">
            <v>Service Charge for metered account</v>
          </cell>
        </row>
        <row r="99">
          <cell r="D99" t="str">
            <v>Service Charge for Unmetered Scattered Load account (per connection)</v>
          </cell>
        </row>
        <row r="100">
          <cell r="D100" t="str">
            <v>Smart Grid Rate Adder</v>
          </cell>
        </row>
        <row r="101">
          <cell r="D101" t="str">
            <v>Smart Meter Disposition Rider 2 – effective until next cost of service application</v>
          </cell>
        </row>
        <row r="102">
          <cell r="D102" t="str">
            <v>Smart Meter Disposition Rider 3 – effective until next cost of service application</v>
          </cell>
        </row>
        <row r="103">
          <cell r="D103" t="str">
            <v>Smart Meter Funding Adder</v>
          </cell>
        </row>
        <row r="104">
          <cell r="D104" t="str">
            <v>Smart Meter Funding Adder – effective until April 30, 2012</v>
          </cell>
        </row>
        <row r="105">
          <cell r="D105" t="str">
            <v>Smart Meter Funding Adder – effective until December 31, 2011</v>
          </cell>
        </row>
        <row r="106">
          <cell r="D106" t="str">
            <v>Smart Meter Funding Adder for metered account – effective until April 30, 2012</v>
          </cell>
        </row>
        <row r="107">
          <cell r="D107" t="str">
            <v>Standby Charge – for a month where standby power is not provided. The charge is applied to the contracted amount (e.g. nameplate rating of the generation facility).</v>
          </cell>
        </row>
        <row r="108">
          <cell r="D108" t="str">
            <v>Total Loss Factor – Primary Metered Customer &lt; 5,000 kW</v>
          </cell>
        </row>
        <row r="109">
          <cell r="D109" t="str">
            <v>Total Loss Factor – Primary Metered Customer &gt; 5,000 kW</v>
          </cell>
        </row>
        <row r="110">
          <cell r="D110" t="str">
            <v>Total Loss Factor – Secondary Metered Customer &lt; 5,000 kW</v>
          </cell>
        </row>
        <row r="111">
          <cell r="D111" t="str">
            <v>Total Loss Factor – Secondary Metered Customer &gt; 5,000 kW</v>
          </cell>
        </row>
        <row r="112">
          <cell r="D112" t="str">
            <v>Transmission Rate – Network Service Rate – Interval Metered</v>
          </cell>
        </row>
      </sheetData>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1:AG107"/>
  <sheetViews>
    <sheetView showGridLines="0" topLeftCell="A2" zoomScaleNormal="100" zoomScaleSheetLayoutView="100" workbookViewId="0">
      <selection activeCell="R13" sqref="R13"/>
    </sheetView>
  </sheetViews>
  <sheetFormatPr defaultColWidth="9.140625" defaultRowHeight="12.75"/>
  <cols>
    <col min="1" max="22" width="9.140625" style="5"/>
    <col min="23" max="25" width="0" style="5" hidden="1" customWidth="1"/>
    <col min="26" max="26" width="3.42578125" style="280" hidden="1" customWidth="1"/>
    <col min="27" max="27" width="46.5703125" style="280" hidden="1" customWidth="1"/>
    <col min="28" max="28" width="42.85546875" style="280" hidden="1" customWidth="1"/>
    <col min="29" max="29" width="16.42578125" style="280" hidden="1" customWidth="1"/>
    <col min="30" max="30" width="13.42578125" style="280" hidden="1" customWidth="1"/>
    <col min="31" max="31" width="13.85546875" style="281" customWidth="1"/>
    <col min="32" max="32" width="24.5703125" style="281" customWidth="1"/>
    <col min="33" max="16384" width="9.140625" style="5"/>
  </cols>
  <sheetData>
    <row r="1" spans="3:33">
      <c r="C1" s="494"/>
      <c r="D1" s="494"/>
      <c r="E1" s="494"/>
      <c r="F1" s="494"/>
      <c r="G1" s="494"/>
      <c r="H1" s="494"/>
      <c r="I1" s="494"/>
      <c r="J1" s="494"/>
      <c r="K1" s="494"/>
      <c r="L1" s="494"/>
      <c r="M1" s="494"/>
      <c r="AC1" s="280" t="str">
        <f>IF('3. Data_Input_Sheet'!M12=0, "", '3. Data_Input_Sheet'!M12)</f>
        <v>Close of Discovery</v>
      </c>
    </row>
    <row r="2" spans="3:33">
      <c r="C2" s="494"/>
      <c r="D2" s="494"/>
      <c r="E2" s="494"/>
      <c r="F2" s="494"/>
      <c r="G2" s="494"/>
      <c r="H2" s="494"/>
      <c r="I2" s="494"/>
      <c r="J2" s="494"/>
      <c r="K2" s="494"/>
      <c r="L2" s="494"/>
      <c r="M2" s="494"/>
      <c r="AE2" s="280"/>
      <c r="AF2" s="280"/>
      <c r="AG2" s="280"/>
    </row>
    <row r="3" spans="3:33">
      <c r="C3" s="494"/>
      <c r="D3" s="494"/>
      <c r="E3" s="494"/>
      <c r="F3" s="494"/>
      <c r="G3" s="494"/>
      <c r="H3" s="494"/>
      <c r="I3" s="494"/>
      <c r="J3" s="494"/>
      <c r="K3" s="494"/>
      <c r="L3" s="494"/>
      <c r="M3" s="494"/>
    </row>
    <row r="4" spans="3:33">
      <c r="C4" s="494"/>
      <c r="D4" s="494"/>
      <c r="E4" s="494"/>
      <c r="F4" s="494"/>
      <c r="G4" s="494"/>
      <c r="H4" s="494"/>
      <c r="I4" s="494"/>
      <c r="J4" s="494"/>
      <c r="K4" s="494"/>
      <c r="L4" s="494"/>
      <c r="M4" s="494"/>
    </row>
    <row r="11" spans="3:33" ht="15">
      <c r="P11" s="371" t="s">
        <v>253</v>
      </c>
      <c r="Q11" s="372">
        <v>4</v>
      </c>
    </row>
    <row r="15" spans="3:33" ht="13.5" thickBot="1"/>
    <row r="16" spans="3:33" ht="29.25" customHeight="1" thickTop="1" thickBot="1">
      <c r="F16" s="375" t="s">
        <v>254</v>
      </c>
      <c r="G16" s="500" t="s">
        <v>193</v>
      </c>
      <c r="H16" s="501"/>
      <c r="I16" s="501"/>
      <c r="J16" s="501"/>
      <c r="K16" s="501"/>
      <c r="L16" s="501"/>
      <c r="M16" s="502"/>
    </row>
    <row r="17" spans="2:32" ht="13.5" thickBot="1">
      <c r="F17" s="376"/>
      <c r="G17" s="200"/>
      <c r="H17" s="201"/>
      <c r="I17" s="200"/>
      <c r="J17" s="200"/>
      <c r="K17" s="200"/>
    </row>
    <row r="18" spans="2:32" ht="16.5" thickTop="1" thickBot="1">
      <c r="F18" s="377" t="s">
        <v>255</v>
      </c>
      <c r="G18" s="503" t="s">
        <v>287</v>
      </c>
      <c r="H18" s="504"/>
      <c r="I18" s="504"/>
      <c r="J18" s="504"/>
      <c r="K18" s="505"/>
    </row>
    <row r="19" spans="2:32" ht="15" thickBot="1">
      <c r="F19" s="378"/>
    </row>
    <row r="20" spans="2:32" ht="18" thickTop="1" thickBot="1">
      <c r="C20" s="282"/>
      <c r="F20" s="377" t="s">
        <v>256</v>
      </c>
      <c r="G20" s="506" t="s">
        <v>290</v>
      </c>
      <c r="H20" s="507"/>
      <c r="I20" s="507"/>
      <c r="J20" s="507"/>
      <c r="K20" s="508"/>
      <c r="Z20" s="283"/>
      <c r="AA20" s="283" t="s">
        <v>221</v>
      </c>
      <c r="AB20" s="283"/>
      <c r="AC20" s="283"/>
      <c r="AD20" s="283"/>
      <c r="AE20" s="284"/>
      <c r="AF20" s="284"/>
    </row>
    <row r="21" spans="2:32" ht="15" thickBot="1">
      <c r="F21" s="378"/>
      <c r="Z21" s="280">
        <v>1</v>
      </c>
      <c r="AA21" s="380" t="s">
        <v>162</v>
      </c>
      <c r="AE21" s="286"/>
      <c r="AF21" s="287"/>
    </row>
    <row r="22" spans="2:32" ht="18" thickTop="1" thickBot="1">
      <c r="B22" s="492"/>
      <c r="C22" s="492"/>
      <c r="D22" s="30"/>
      <c r="F22" s="377" t="s">
        <v>257</v>
      </c>
      <c r="G22" s="506" t="s">
        <v>284</v>
      </c>
      <c r="H22" s="507"/>
      <c r="I22" s="507"/>
      <c r="J22" s="507"/>
      <c r="K22" s="508"/>
      <c r="Z22" s="280">
        <v>2</v>
      </c>
      <c r="AA22" s="380" t="s">
        <v>163</v>
      </c>
      <c r="AE22" s="286"/>
      <c r="AF22" s="287"/>
    </row>
    <row r="23" spans="2:32" ht="17.25" thickBot="1">
      <c r="B23" s="30"/>
      <c r="C23" s="373"/>
      <c r="D23" s="30"/>
      <c r="F23" s="379"/>
      <c r="G23" s="200"/>
      <c r="H23" s="201"/>
      <c r="I23" s="200"/>
      <c r="J23" s="200"/>
      <c r="K23" s="200"/>
      <c r="Z23" s="280">
        <v>3</v>
      </c>
      <c r="AA23" s="380" t="s">
        <v>260</v>
      </c>
      <c r="AE23" s="286"/>
      <c r="AF23" s="287"/>
    </row>
    <row r="24" spans="2:32" ht="18" thickTop="1" thickBot="1">
      <c r="B24" s="492"/>
      <c r="C24" s="492"/>
      <c r="D24" s="30"/>
      <c r="F24" s="375" t="s">
        <v>258</v>
      </c>
      <c r="G24" s="506" t="s">
        <v>285</v>
      </c>
      <c r="H24" s="507"/>
      <c r="I24" s="507"/>
      <c r="J24" s="507"/>
      <c r="K24" s="508"/>
      <c r="Z24" s="280">
        <v>4</v>
      </c>
      <c r="AA24" s="380" t="s">
        <v>261</v>
      </c>
      <c r="AE24" s="286"/>
      <c r="AF24" s="287"/>
    </row>
    <row r="25" spans="2:32" ht="17.25" thickBot="1">
      <c r="B25" s="30"/>
      <c r="C25" s="373"/>
      <c r="D25" s="30"/>
      <c r="F25" s="379"/>
      <c r="G25" s="200"/>
      <c r="H25" s="201"/>
      <c r="I25" s="200"/>
      <c r="J25" s="200"/>
      <c r="K25" s="200"/>
      <c r="Z25" s="280">
        <v>5</v>
      </c>
      <c r="AA25" s="380" t="s">
        <v>262</v>
      </c>
      <c r="AE25" s="286"/>
      <c r="AF25" s="287"/>
    </row>
    <row r="26" spans="2:32" ht="18" thickTop="1" thickBot="1">
      <c r="B26" s="492"/>
      <c r="C26" s="492"/>
      <c r="D26" s="492"/>
      <c r="F26" s="375" t="s">
        <v>259</v>
      </c>
      <c r="G26" s="497" t="s">
        <v>286</v>
      </c>
      <c r="H26" s="498"/>
      <c r="I26" s="498"/>
      <c r="J26" s="498"/>
      <c r="K26" s="499"/>
      <c r="Z26" s="280">
        <v>6</v>
      </c>
      <c r="AA26" s="380" t="s">
        <v>164</v>
      </c>
      <c r="AE26" s="286"/>
      <c r="AF26" s="287"/>
    </row>
    <row r="27" spans="2:32" ht="16.5">
      <c r="B27" s="30"/>
      <c r="C27" s="373"/>
      <c r="D27" s="30"/>
      <c r="E27" s="374"/>
      <c r="F27" s="30"/>
      <c r="G27" s="30"/>
      <c r="H27" s="30"/>
      <c r="I27" s="30"/>
      <c r="J27" s="30"/>
      <c r="Z27" s="280">
        <v>7</v>
      </c>
      <c r="AA27" s="380" t="s">
        <v>165</v>
      </c>
      <c r="AE27" s="286"/>
      <c r="AF27" s="287"/>
    </row>
    <row r="28" spans="2:32" ht="16.5">
      <c r="B28" s="492"/>
      <c r="C28" s="492"/>
      <c r="D28" s="492"/>
      <c r="E28" s="495"/>
      <c r="F28" s="496"/>
      <c r="G28" s="496"/>
      <c r="H28" s="496"/>
      <c r="I28" s="496"/>
      <c r="J28" s="496"/>
      <c r="Z28" s="280">
        <v>8</v>
      </c>
      <c r="AA28" s="380" t="s">
        <v>263</v>
      </c>
      <c r="AE28" s="286"/>
      <c r="AF28" s="287"/>
    </row>
    <row r="29" spans="2:32" ht="25.5">
      <c r="B29" s="30"/>
      <c r="C29" s="30"/>
      <c r="D29" s="30"/>
      <c r="E29" s="30"/>
      <c r="F29" s="30"/>
      <c r="G29" s="30"/>
      <c r="H29" s="30"/>
      <c r="I29" s="30"/>
      <c r="J29" s="30"/>
      <c r="Z29" s="280">
        <v>9</v>
      </c>
      <c r="AA29" s="380" t="s">
        <v>264</v>
      </c>
      <c r="AE29" s="286"/>
      <c r="AF29" s="287"/>
    </row>
    <row r="30" spans="2:32">
      <c r="Z30" s="280">
        <v>10</v>
      </c>
      <c r="AA30" s="380" t="s">
        <v>166</v>
      </c>
      <c r="AE30" s="286"/>
      <c r="AF30" s="287"/>
    </row>
    <row r="31" spans="2:32">
      <c r="Z31" s="280">
        <v>11</v>
      </c>
      <c r="AA31" s="380" t="s">
        <v>167</v>
      </c>
      <c r="AE31" s="286"/>
      <c r="AF31" s="287"/>
    </row>
    <row r="32" spans="2:32">
      <c r="Z32" s="280">
        <v>12</v>
      </c>
      <c r="AA32" s="380" t="s">
        <v>265</v>
      </c>
      <c r="AE32" s="286"/>
      <c r="AF32" s="287"/>
    </row>
    <row r="33" spans="2:32">
      <c r="Z33" s="280">
        <v>13</v>
      </c>
      <c r="AA33" s="380" t="s">
        <v>168</v>
      </c>
      <c r="AE33" s="286"/>
      <c r="AF33" s="287"/>
    </row>
    <row r="34" spans="2:32">
      <c r="Z34" s="280">
        <v>14</v>
      </c>
      <c r="AA34" s="380" t="s">
        <v>169</v>
      </c>
      <c r="AE34" s="286"/>
      <c r="AF34" s="287"/>
    </row>
    <row r="35" spans="2:32">
      <c r="B35" s="493"/>
      <c r="C35" s="493"/>
      <c r="D35" s="493"/>
      <c r="E35" s="493"/>
      <c r="F35" s="493"/>
      <c r="G35" s="493"/>
      <c r="H35" s="493"/>
      <c r="I35" s="493"/>
      <c r="J35" s="493"/>
      <c r="K35" s="493"/>
      <c r="L35" s="493"/>
      <c r="Z35" s="280">
        <v>15</v>
      </c>
      <c r="AA35" s="380" t="s">
        <v>170</v>
      </c>
      <c r="AE35" s="286"/>
      <c r="AF35" s="287"/>
    </row>
    <row r="36" spans="2:32">
      <c r="B36" s="493"/>
      <c r="C36" s="493"/>
      <c r="D36" s="493"/>
      <c r="E36" s="493"/>
      <c r="F36" s="493"/>
      <c r="G36" s="493"/>
      <c r="H36" s="493"/>
      <c r="I36" s="493"/>
      <c r="J36" s="493"/>
      <c r="K36" s="493"/>
      <c r="L36" s="493"/>
      <c r="Z36" s="280">
        <v>16</v>
      </c>
      <c r="AA36" s="380" t="s">
        <v>266</v>
      </c>
      <c r="AE36" s="286"/>
      <c r="AF36" s="287"/>
    </row>
    <row r="37" spans="2:32">
      <c r="B37" s="493"/>
      <c r="C37" s="493"/>
      <c r="D37" s="493"/>
      <c r="E37" s="493"/>
      <c r="F37" s="493"/>
      <c r="G37" s="493"/>
      <c r="H37" s="493"/>
      <c r="I37" s="493"/>
      <c r="J37" s="493"/>
      <c r="K37" s="493"/>
      <c r="L37" s="493"/>
      <c r="Z37" s="280">
        <v>17</v>
      </c>
      <c r="AA37" s="380" t="s">
        <v>171</v>
      </c>
      <c r="AE37" s="286"/>
      <c r="AF37" s="287"/>
    </row>
    <row r="38" spans="2:32">
      <c r="B38" s="493"/>
      <c r="C38" s="493"/>
      <c r="D38" s="493"/>
      <c r="E38" s="493"/>
      <c r="F38" s="493"/>
      <c r="G38" s="493"/>
      <c r="H38" s="493"/>
      <c r="I38" s="493"/>
      <c r="J38" s="493"/>
      <c r="K38" s="493"/>
      <c r="L38" s="493"/>
      <c r="Z38" s="280">
        <v>18</v>
      </c>
      <c r="AA38" s="380" t="s">
        <v>267</v>
      </c>
      <c r="AE38" s="286"/>
      <c r="AF38" s="287"/>
    </row>
    <row r="39" spans="2:32">
      <c r="B39" s="493"/>
      <c r="C39" s="493"/>
      <c r="D39" s="493"/>
      <c r="E39" s="493"/>
      <c r="F39" s="493"/>
      <c r="G39" s="493"/>
      <c r="H39" s="493"/>
      <c r="I39" s="493"/>
      <c r="J39" s="493"/>
      <c r="K39" s="493"/>
      <c r="L39" s="493"/>
      <c r="Z39" s="280">
        <v>19</v>
      </c>
      <c r="AA39" s="380" t="s">
        <v>172</v>
      </c>
      <c r="AE39" s="286"/>
      <c r="AF39" s="287"/>
    </row>
    <row r="40" spans="2:32" ht="12" customHeight="1">
      <c r="B40" s="493"/>
      <c r="C40" s="493"/>
      <c r="D40" s="493"/>
      <c r="E40" s="493"/>
      <c r="F40" s="493"/>
      <c r="G40" s="493"/>
      <c r="H40" s="493"/>
      <c r="I40" s="493"/>
      <c r="J40" s="493"/>
      <c r="K40" s="493"/>
      <c r="L40" s="493"/>
      <c r="Z40" s="280">
        <v>20</v>
      </c>
      <c r="AA40" s="380" t="s">
        <v>173</v>
      </c>
      <c r="AE40" s="286"/>
      <c r="AF40" s="287"/>
    </row>
    <row r="41" spans="2:32">
      <c r="B41" s="493"/>
      <c r="C41" s="493"/>
      <c r="D41" s="493"/>
      <c r="E41" s="493"/>
      <c r="F41" s="493"/>
      <c r="G41" s="493"/>
      <c r="H41" s="493"/>
      <c r="I41" s="493"/>
      <c r="J41" s="493"/>
      <c r="K41" s="493"/>
      <c r="L41" s="493"/>
      <c r="Z41" s="280">
        <v>21</v>
      </c>
      <c r="AA41" s="380" t="s">
        <v>174</v>
      </c>
      <c r="AE41" s="286"/>
      <c r="AF41" s="287"/>
    </row>
    <row r="42" spans="2:32">
      <c r="Z42" s="280">
        <v>22</v>
      </c>
      <c r="AA42" s="380" t="s">
        <v>214</v>
      </c>
      <c r="AE42" s="286"/>
      <c r="AF42" s="287"/>
    </row>
    <row r="43" spans="2:32">
      <c r="Z43" s="280">
        <v>23</v>
      </c>
      <c r="AA43" s="380" t="s">
        <v>175</v>
      </c>
      <c r="AE43" s="286"/>
      <c r="AF43" s="287"/>
    </row>
    <row r="44" spans="2:32">
      <c r="Z44" s="280">
        <v>24</v>
      </c>
      <c r="AA44" s="380" t="s">
        <v>215</v>
      </c>
      <c r="AE44" s="286"/>
      <c r="AF44" s="287"/>
    </row>
    <row r="45" spans="2:32">
      <c r="Z45" s="280">
        <v>25</v>
      </c>
      <c r="AA45" s="380" t="s">
        <v>216</v>
      </c>
      <c r="AE45" s="286"/>
      <c r="AF45" s="287"/>
    </row>
    <row r="46" spans="2:32">
      <c r="Z46" s="280">
        <v>26</v>
      </c>
      <c r="AA46" s="380" t="s">
        <v>176</v>
      </c>
      <c r="AE46" s="286"/>
      <c r="AF46" s="287"/>
    </row>
    <row r="47" spans="2:32">
      <c r="Z47" s="280">
        <v>27</v>
      </c>
      <c r="AA47" s="380" t="s">
        <v>177</v>
      </c>
      <c r="AE47" s="286"/>
      <c r="AF47" s="287"/>
    </row>
    <row r="48" spans="2:32">
      <c r="Z48" s="280">
        <v>28</v>
      </c>
      <c r="AA48" s="380" t="s">
        <v>178</v>
      </c>
      <c r="AE48" s="286"/>
      <c r="AF48" s="287"/>
    </row>
    <row r="49" spans="2:32">
      <c r="B49" s="288"/>
      <c r="C49" s="288"/>
      <c r="D49" s="288"/>
      <c r="Z49" s="280">
        <v>29</v>
      </c>
      <c r="AA49" s="380" t="s">
        <v>268</v>
      </c>
      <c r="AE49" s="286"/>
      <c r="AF49" s="287"/>
    </row>
    <row r="50" spans="2:32">
      <c r="Z50" s="280">
        <v>30</v>
      </c>
      <c r="AA50" s="380" t="s">
        <v>179</v>
      </c>
      <c r="AE50" s="286"/>
      <c r="AF50" s="287"/>
    </row>
    <row r="51" spans="2:32">
      <c r="Z51" s="280">
        <v>31</v>
      </c>
      <c r="AA51" s="380" t="s">
        <v>180</v>
      </c>
      <c r="AE51" s="286"/>
      <c r="AF51" s="287"/>
    </row>
    <row r="52" spans="2:32">
      <c r="Z52" s="280">
        <v>32</v>
      </c>
      <c r="AA52" s="380" t="s">
        <v>181</v>
      </c>
      <c r="AE52" s="286"/>
      <c r="AF52" s="287"/>
    </row>
    <row r="53" spans="2:32">
      <c r="Z53" s="280">
        <v>33</v>
      </c>
      <c r="AA53" s="380" t="s">
        <v>182</v>
      </c>
      <c r="AE53" s="286"/>
      <c r="AF53" s="287"/>
    </row>
    <row r="54" spans="2:32">
      <c r="Z54" s="280">
        <v>34</v>
      </c>
      <c r="AA54" s="380" t="s">
        <v>269</v>
      </c>
      <c r="AE54" s="286"/>
      <c r="AF54" s="287"/>
    </row>
    <row r="55" spans="2:32">
      <c r="Z55" s="280">
        <v>35</v>
      </c>
      <c r="AA55" s="380" t="s">
        <v>270</v>
      </c>
      <c r="AE55" s="286"/>
      <c r="AF55" s="287"/>
    </row>
    <row r="56" spans="2:32">
      <c r="Z56" s="280">
        <v>36</v>
      </c>
      <c r="AA56" s="380" t="s">
        <v>217</v>
      </c>
      <c r="AE56" s="286"/>
      <c r="AF56" s="287"/>
    </row>
    <row r="57" spans="2:32">
      <c r="Z57" s="280">
        <v>37</v>
      </c>
      <c r="AA57" s="380" t="s">
        <v>271</v>
      </c>
      <c r="AE57" s="286"/>
      <c r="AF57" s="287"/>
    </row>
    <row r="58" spans="2:32">
      <c r="Z58" s="280">
        <v>38</v>
      </c>
      <c r="AA58" s="380" t="s">
        <v>218</v>
      </c>
      <c r="AE58" s="286"/>
      <c r="AF58" s="287"/>
    </row>
    <row r="59" spans="2:32">
      <c r="Z59" s="280">
        <v>39</v>
      </c>
      <c r="AA59" s="380" t="s">
        <v>183</v>
      </c>
      <c r="AE59" s="286"/>
      <c r="AF59" s="287"/>
    </row>
    <row r="60" spans="2:32">
      <c r="Z60" s="280">
        <v>40</v>
      </c>
      <c r="AA60" s="380" t="s">
        <v>184</v>
      </c>
      <c r="AE60" s="286"/>
      <c r="AF60" s="287"/>
    </row>
    <row r="61" spans="2:32">
      <c r="Z61" s="280">
        <v>41</v>
      </c>
      <c r="AA61" s="380" t="s">
        <v>185</v>
      </c>
      <c r="AE61" s="286"/>
      <c r="AF61" s="287"/>
    </row>
    <row r="62" spans="2:32">
      <c r="Z62" s="280">
        <v>42</v>
      </c>
      <c r="AA62" s="380" t="s">
        <v>186</v>
      </c>
      <c r="AE62" s="286"/>
      <c r="AF62" s="287"/>
    </row>
    <row r="63" spans="2:32">
      <c r="Z63" s="280">
        <v>43</v>
      </c>
      <c r="AA63" s="380" t="s">
        <v>219</v>
      </c>
      <c r="AE63" s="286"/>
      <c r="AF63" s="287"/>
    </row>
    <row r="64" spans="2:32">
      <c r="Z64" s="280">
        <v>44</v>
      </c>
      <c r="AA64" s="380" t="s">
        <v>187</v>
      </c>
      <c r="AE64" s="286"/>
      <c r="AF64" s="287"/>
    </row>
    <row r="65" spans="26:32">
      <c r="Z65" s="280">
        <v>45</v>
      </c>
      <c r="AA65" s="380" t="s">
        <v>188</v>
      </c>
      <c r="AE65" s="286"/>
      <c r="AF65" s="287"/>
    </row>
    <row r="66" spans="26:32">
      <c r="Z66" s="280">
        <v>46</v>
      </c>
      <c r="AA66" s="380" t="s">
        <v>272</v>
      </c>
      <c r="AE66" s="286"/>
      <c r="AF66" s="287"/>
    </row>
    <row r="67" spans="26:32">
      <c r="Z67" s="280">
        <v>47</v>
      </c>
      <c r="AA67" s="380" t="s">
        <v>273</v>
      </c>
      <c r="AE67" s="286"/>
      <c r="AF67" s="287"/>
    </row>
    <row r="68" spans="26:32">
      <c r="Z68" s="280">
        <v>48</v>
      </c>
      <c r="AA68" s="380" t="s">
        <v>274</v>
      </c>
      <c r="AE68" s="286"/>
      <c r="AF68" s="287"/>
    </row>
    <row r="69" spans="26:32">
      <c r="Z69" s="280">
        <v>49</v>
      </c>
      <c r="AA69" s="380" t="s">
        <v>189</v>
      </c>
      <c r="AE69" s="286"/>
      <c r="AF69" s="287"/>
    </row>
    <row r="70" spans="26:32">
      <c r="Z70" s="280">
        <v>50</v>
      </c>
      <c r="AA70" s="380" t="s">
        <v>275</v>
      </c>
      <c r="AE70" s="286"/>
      <c r="AF70" s="287"/>
    </row>
    <row r="71" spans="26:32">
      <c r="Z71" s="280">
        <v>51</v>
      </c>
      <c r="AA71" s="380" t="s">
        <v>190</v>
      </c>
      <c r="AE71" s="286"/>
      <c r="AF71" s="287"/>
    </row>
    <row r="72" spans="26:32">
      <c r="Z72" s="280">
        <v>52</v>
      </c>
      <c r="AA72" s="380" t="s">
        <v>191</v>
      </c>
      <c r="AE72" s="286"/>
      <c r="AF72" s="287"/>
    </row>
    <row r="73" spans="26:32">
      <c r="Z73" s="280">
        <v>53</v>
      </c>
      <c r="AA73" s="380" t="s">
        <v>276</v>
      </c>
      <c r="AE73" s="286"/>
      <c r="AF73" s="287"/>
    </row>
    <row r="74" spans="26:32">
      <c r="Z74" s="280">
        <v>54</v>
      </c>
      <c r="AA74" s="380" t="s">
        <v>192</v>
      </c>
      <c r="AE74" s="286"/>
      <c r="AF74" s="287"/>
    </row>
    <row r="75" spans="26:32">
      <c r="Z75" s="280">
        <v>55</v>
      </c>
      <c r="AA75" s="380" t="s">
        <v>277</v>
      </c>
      <c r="AE75" s="286"/>
      <c r="AF75" s="287"/>
    </row>
    <row r="76" spans="26:32">
      <c r="Z76" s="280">
        <v>56</v>
      </c>
      <c r="AA76" s="380" t="s">
        <v>193</v>
      </c>
      <c r="AE76" s="286"/>
      <c r="AF76" s="287"/>
    </row>
    <row r="77" spans="26:32">
      <c r="Z77" s="280">
        <v>57</v>
      </c>
      <c r="AA77" s="380" t="s">
        <v>194</v>
      </c>
      <c r="AE77" s="286"/>
      <c r="AF77" s="287"/>
    </row>
    <row r="78" spans="26:32">
      <c r="Z78" s="280">
        <v>58</v>
      </c>
      <c r="AA78" s="380" t="s">
        <v>195</v>
      </c>
      <c r="AE78" s="286"/>
      <c r="AF78" s="287"/>
    </row>
    <row r="79" spans="26:32">
      <c r="Z79" s="280">
        <v>59</v>
      </c>
      <c r="AA79" s="380" t="s">
        <v>278</v>
      </c>
      <c r="AE79" s="286"/>
      <c r="AF79" s="287"/>
    </row>
    <row r="80" spans="26:32">
      <c r="Z80" s="280">
        <v>60</v>
      </c>
      <c r="AA80" s="380" t="s">
        <v>196</v>
      </c>
      <c r="AE80" s="286"/>
      <c r="AF80" s="287"/>
    </row>
    <row r="81" spans="26:32">
      <c r="Z81" s="280">
        <v>61</v>
      </c>
      <c r="AA81" s="381" t="s">
        <v>197</v>
      </c>
      <c r="AE81" s="286"/>
      <c r="AF81" s="287"/>
    </row>
    <row r="82" spans="26:32">
      <c r="Z82" s="280">
        <v>62</v>
      </c>
      <c r="AA82" s="380" t="s">
        <v>198</v>
      </c>
      <c r="AE82" s="286"/>
      <c r="AF82" s="287"/>
    </row>
    <row r="83" spans="26:32">
      <c r="Z83" s="280">
        <v>63</v>
      </c>
      <c r="AA83" s="380" t="s">
        <v>199</v>
      </c>
      <c r="AE83" s="286"/>
      <c r="AF83" s="287"/>
    </row>
    <row r="84" spans="26:32">
      <c r="Z84" s="280">
        <v>64</v>
      </c>
      <c r="AA84" s="380" t="s">
        <v>200</v>
      </c>
      <c r="AE84" s="286"/>
      <c r="AF84" s="287"/>
    </row>
    <row r="85" spans="26:32">
      <c r="Z85" s="280">
        <v>65</v>
      </c>
      <c r="AA85" s="380" t="s">
        <v>202</v>
      </c>
      <c r="AE85" s="286"/>
      <c r="AF85" s="287"/>
    </row>
    <row r="86" spans="26:32">
      <c r="Z86" s="280">
        <v>66</v>
      </c>
      <c r="AA86" s="380" t="s">
        <v>201</v>
      </c>
      <c r="AE86" s="287"/>
      <c r="AF86" s="287"/>
    </row>
    <row r="87" spans="26:32">
      <c r="Z87" s="280">
        <v>67</v>
      </c>
      <c r="AA87" s="380" t="s">
        <v>203</v>
      </c>
      <c r="AE87" s="287"/>
      <c r="AF87" s="287"/>
    </row>
    <row r="88" spans="26:32">
      <c r="Z88" s="280">
        <v>68</v>
      </c>
      <c r="AA88" s="380" t="s">
        <v>204</v>
      </c>
      <c r="AE88" s="287"/>
      <c r="AF88" s="287"/>
    </row>
    <row r="89" spans="26:32">
      <c r="Z89" s="280">
        <v>69</v>
      </c>
      <c r="AA89" s="380" t="s">
        <v>220</v>
      </c>
      <c r="AE89" s="287"/>
      <c r="AF89" s="287"/>
    </row>
    <row r="90" spans="26:32">
      <c r="Z90" s="280">
        <v>70</v>
      </c>
      <c r="AA90" s="380" t="s">
        <v>205</v>
      </c>
      <c r="AE90" s="287"/>
      <c r="AF90" s="287"/>
    </row>
    <row r="91" spans="26:32">
      <c r="Z91" s="280">
        <v>71</v>
      </c>
      <c r="AA91" s="380" t="s">
        <v>206</v>
      </c>
      <c r="AE91" s="287"/>
      <c r="AF91" s="287"/>
    </row>
    <row r="92" spans="26:32">
      <c r="Z92" s="280">
        <v>72</v>
      </c>
      <c r="AA92" s="380" t="s">
        <v>207</v>
      </c>
      <c r="AE92" s="287"/>
      <c r="AF92" s="287"/>
    </row>
    <row r="93" spans="26:32">
      <c r="Z93" s="280">
        <v>73</v>
      </c>
      <c r="AA93" s="380" t="s">
        <v>208</v>
      </c>
      <c r="AE93" s="287"/>
      <c r="AF93" s="287"/>
    </row>
    <row r="94" spans="26:32">
      <c r="Z94" s="280">
        <v>74</v>
      </c>
      <c r="AA94" s="380" t="s">
        <v>209</v>
      </c>
      <c r="AE94" s="287"/>
      <c r="AF94" s="287"/>
    </row>
    <row r="95" spans="26:32">
      <c r="Z95" s="280">
        <v>75</v>
      </c>
      <c r="AA95" s="380" t="s">
        <v>210</v>
      </c>
      <c r="AE95" s="287"/>
      <c r="AF95" s="287"/>
    </row>
    <row r="96" spans="26:32">
      <c r="Z96" s="280">
        <v>76</v>
      </c>
      <c r="AA96" s="380" t="s">
        <v>211</v>
      </c>
      <c r="AE96" s="287"/>
      <c r="AF96" s="287"/>
    </row>
    <row r="97" spans="26:32">
      <c r="Z97" s="280">
        <v>77</v>
      </c>
      <c r="AA97" s="380" t="s">
        <v>212</v>
      </c>
      <c r="AE97" s="287"/>
      <c r="AF97" s="287"/>
    </row>
    <row r="98" spans="26:32">
      <c r="Z98" s="280">
        <v>78</v>
      </c>
      <c r="AA98" s="380" t="s">
        <v>213</v>
      </c>
      <c r="AE98" s="287"/>
      <c r="AF98" s="287"/>
    </row>
    <row r="99" spans="26:32" ht="15">
      <c r="AA99" s="270"/>
      <c r="AB99" s="285"/>
      <c r="AE99" s="287"/>
      <c r="AF99" s="287"/>
    </row>
    <row r="100" spans="26:32" ht="15">
      <c r="AA100" s="270"/>
      <c r="AB100" s="285"/>
      <c r="AE100" s="287"/>
      <c r="AF100" s="287"/>
    </row>
    <row r="101" spans="26:32" ht="15">
      <c r="AA101" s="270"/>
      <c r="AB101" s="285"/>
      <c r="AE101" s="287"/>
      <c r="AF101" s="287"/>
    </row>
    <row r="102" spans="26:32" ht="15">
      <c r="AA102" s="270"/>
      <c r="AB102" s="285"/>
      <c r="AE102" s="287"/>
      <c r="AF102" s="287"/>
    </row>
    <row r="103" spans="26:32" ht="15">
      <c r="AA103" s="270"/>
      <c r="AB103" s="285"/>
      <c r="AE103" s="287"/>
      <c r="AF103" s="287"/>
    </row>
    <row r="104" spans="26:32" ht="15">
      <c r="AA104" s="270"/>
      <c r="AB104" s="285"/>
      <c r="AE104" s="287"/>
      <c r="AF104" s="287"/>
    </row>
    <row r="105" spans="26:32" ht="15">
      <c r="AA105" s="270"/>
      <c r="AB105" s="285"/>
      <c r="AE105" s="287"/>
      <c r="AF105" s="287"/>
    </row>
    <row r="106" spans="26:32" ht="15">
      <c r="AA106" s="270"/>
      <c r="AB106" s="285"/>
      <c r="AE106" s="287"/>
      <c r="AF106" s="287"/>
    </row>
    <row r="107" spans="26:32" ht="15">
      <c r="AA107" s="270"/>
      <c r="AB107" s="285"/>
      <c r="AE107" s="287"/>
      <c r="AF107" s="287"/>
    </row>
  </sheetData>
  <sheetProtection password="82A3" sheet="1" objects="1" scenarios="1" formatColumns="0" formatRows="0"/>
  <mergeCells count="14">
    <mergeCell ref="B28:D28"/>
    <mergeCell ref="B35:L41"/>
    <mergeCell ref="C1:M2"/>
    <mergeCell ref="C3:M4"/>
    <mergeCell ref="E28:J28"/>
    <mergeCell ref="G26:K26"/>
    <mergeCell ref="B22:C22"/>
    <mergeCell ref="G16:M16"/>
    <mergeCell ref="G18:K18"/>
    <mergeCell ref="G20:K20"/>
    <mergeCell ref="G22:K22"/>
    <mergeCell ref="G24:K24"/>
    <mergeCell ref="B24:C24"/>
    <mergeCell ref="B26:D26"/>
  </mergeCells>
  <phoneticPr fontId="30" type="noConversion"/>
  <conditionalFormatting sqref="E22:J22 E24:J24 E26:J26 E28:J28">
    <cfRule type="cellIs" dxfId="12" priority="1" stopIfTrue="1" operator="notEqual">
      <formula>""</formula>
    </cfRule>
  </conditionalFormatting>
  <dataValidations count="2">
    <dataValidation allowBlank="1" showInputMessage="1" showErrorMessage="1" prompt="First and last name, title" sqref="G22:K22"/>
    <dataValidation type="list" allowBlank="1" showInputMessage="1" showErrorMessage="1" sqref="G16:M16">
      <formula1>$AA$21:$AA$98</formula1>
    </dataValidation>
  </dataValidations>
  <pageMargins left="0.75" right="0.75" top="1" bottom="1" header="0.5" footer="0.5"/>
  <pageSetup scale="78" orientation="landscape" r:id="rId1"/>
  <headerFooter alignWithMargins="0"/>
  <colBreaks count="1" manualBreakCount="1">
    <brk id="17" max="42"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U219"/>
  <sheetViews>
    <sheetView tabSelected="1" topLeftCell="A16" workbookViewId="0">
      <pane xSplit="3" ySplit="4" topLeftCell="D20" activePane="bottomRight" state="frozen"/>
      <selection activeCell="A16" sqref="A16"/>
      <selection pane="topRight" activeCell="D16" sqref="D16"/>
      <selection pane="bottomLeft" activeCell="A20" sqref="A20"/>
      <selection pane="bottomRight" activeCell="C80" sqref="C80"/>
    </sheetView>
  </sheetViews>
  <sheetFormatPr defaultColWidth="9.140625" defaultRowHeight="12.75" outlineLevelRow="1"/>
  <cols>
    <col min="1" max="1" width="3.28515625" style="409" bestFit="1" customWidth="1"/>
    <col min="2" max="2" width="15" style="409" customWidth="1"/>
    <col min="3" max="3" width="41.85546875" style="409" customWidth="1"/>
    <col min="4" max="4" width="11.28515625" style="409" customWidth="1"/>
    <col min="5" max="5" width="12.85546875" style="409" customWidth="1"/>
    <col min="6" max="7" width="11.85546875" style="409" customWidth="1"/>
    <col min="8" max="8" width="11.28515625" style="409" customWidth="1"/>
    <col min="9" max="9" width="12.5703125" style="409" bestFit="1" customWidth="1"/>
    <col min="10" max="10" width="10.5703125" style="409" customWidth="1"/>
    <col min="11" max="11" width="10.85546875" style="409" customWidth="1"/>
    <col min="12" max="12" width="13.28515625" style="409" customWidth="1"/>
    <col min="13" max="13" width="10.85546875" style="409" customWidth="1"/>
    <col min="14" max="14" width="12.42578125" style="409" customWidth="1"/>
    <col min="15" max="15" width="12.85546875" style="409" customWidth="1"/>
    <col min="16" max="16" width="5.7109375" style="409" hidden="1" customWidth="1"/>
    <col min="17" max="18" width="0" style="409" hidden="1" customWidth="1"/>
    <col min="19" max="16384" width="9.140625" style="409"/>
  </cols>
  <sheetData>
    <row r="2" spans="2:15">
      <c r="I2" s="410"/>
      <c r="J2" s="410"/>
      <c r="K2" s="410"/>
      <c r="L2" s="410"/>
      <c r="M2" s="410"/>
      <c r="N2" s="410"/>
      <c r="O2" s="410"/>
    </row>
    <row r="3" spans="2:15">
      <c r="I3" s="411"/>
      <c r="J3" s="411"/>
      <c r="K3" s="411"/>
      <c r="L3" s="411"/>
      <c r="M3" s="411"/>
      <c r="N3" s="411"/>
      <c r="O3" s="411"/>
    </row>
    <row r="4" spans="2:15">
      <c r="I4" s="411"/>
      <c r="J4" s="411"/>
      <c r="K4" s="411"/>
      <c r="L4" s="411"/>
      <c r="M4" s="411"/>
      <c r="N4" s="411"/>
      <c r="O4" s="411"/>
    </row>
    <row r="5" spans="2:15">
      <c r="I5" s="412"/>
      <c r="J5" s="412"/>
      <c r="K5" s="412"/>
      <c r="L5" s="412"/>
      <c r="M5" s="412"/>
      <c r="N5" s="412"/>
      <c r="O5" s="412"/>
    </row>
    <row r="6" spans="2:15">
      <c r="I6" s="412"/>
      <c r="J6" s="412"/>
      <c r="K6" s="412"/>
      <c r="L6" s="412"/>
      <c r="M6" s="412"/>
      <c r="N6" s="412"/>
      <c r="O6" s="412"/>
    </row>
    <row r="7" spans="2:15">
      <c r="I7" s="412"/>
      <c r="J7" s="412"/>
      <c r="K7" s="412"/>
      <c r="L7" s="412"/>
      <c r="M7" s="412"/>
      <c r="N7" s="412"/>
      <c r="O7" s="412"/>
    </row>
    <row r="8" spans="2:15">
      <c r="I8" s="412"/>
      <c r="J8" s="412"/>
      <c r="K8" s="412"/>
      <c r="L8" s="412"/>
      <c r="M8" s="412"/>
      <c r="N8" s="412"/>
      <c r="O8" s="412"/>
    </row>
    <row r="9" spans="2:15">
      <c r="I9" s="412"/>
      <c r="J9" s="412"/>
      <c r="K9" s="412"/>
      <c r="L9" s="412"/>
      <c r="M9" s="412"/>
      <c r="N9" s="412"/>
      <c r="O9" s="412"/>
    </row>
    <row r="10" spans="2:15">
      <c r="I10" s="412"/>
      <c r="J10" s="412"/>
      <c r="K10" s="412"/>
      <c r="L10" s="412"/>
      <c r="M10" s="412"/>
      <c r="N10" s="412"/>
      <c r="O10" s="412"/>
    </row>
    <row r="11" spans="2:15">
      <c r="I11" s="412"/>
      <c r="J11" s="412"/>
      <c r="K11" s="412"/>
      <c r="L11" s="412"/>
      <c r="M11" s="412"/>
      <c r="N11" s="412"/>
      <c r="O11" s="412"/>
    </row>
    <row r="14" spans="2:15" ht="18">
      <c r="B14" s="413" t="s">
        <v>291</v>
      </c>
    </row>
    <row r="15" spans="2:15" ht="83.25" customHeight="1">
      <c r="B15" s="601" t="s">
        <v>292</v>
      </c>
      <c r="C15" s="601"/>
      <c r="D15" s="601"/>
      <c r="E15" s="601"/>
      <c r="F15" s="601"/>
      <c r="G15" s="601"/>
      <c r="H15" s="601"/>
      <c r="I15" s="601"/>
      <c r="J15" s="601"/>
      <c r="K15" s="601"/>
      <c r="L15" s="601"/>
      <c r="M15" s="601"/>
      <c r="N15" s="601"/>
      <c r="O15" s="601"/>
    </row>
    <row r="16" spans="2:15" ht="23.25">
      <c r="B16" s="602" t="s">
        <v>312</v>
      </c>
      <c r="C16" s="602"/>
      <c r="D16" s="602"/>
      <c r="E16" s="602"/>
      <c r="F16" s="602"/>
      <c r="G16" s="602"/>
      <c r="H16" s="602"/>
      <c r="I16" s="602"/>
      <c r="J16" s="602"/>
      <c r="K16" s="602"/>
      <c r="L16" s="602"/>
      <c r="M16" s="602"/>
      <c r="N16" s="602"/>
      <c r="O16" s="602"/>
    </row>
    <row r="17" spans="1:17" ht="16.5" thickBot="1">
      <c r="B17" s="414"/>
      <c r="C17" s="415"/>
      <c r="D17" s="415"/>
      <c r="E17" s="415"/>
      <c r="F17" s="415"/>
      <c r="G17" s="415"/>
      <c r="H17" s="415"/>
      <c r="I17" s="415"/>
      <c r="J17" s="415"/>
      <c r="K17" s="415"/>
      <c r="L17" s="415"/>
      <c r="M17" s="415"/>
      <c r="N17" s="415"/>
      <c r="O17" s="415"/>
    </row>
    <row r="18" spans="1:17" ht="14.25" thickTop="1" thickBot="1">
      <c r="A18" s="416"/>
      <c r="B18" s="466"/>
      <c r="C18" s="417"/>
      <c r="D18" s="603" t="s">
        <v>89</v>
      </c>
      <c r="E18" s="604"/>
      <c r="F18" s="605" t="s">
        <v>293</v>
      </c>
      <c r="G18" s="605"/>
      <c r="H18" s="606"/>
      <c r="I18" s="607" t="s">
        <v>117</v>
      </c>
      <c r="J18" s="608"/>
      <c r="K18" s="609"/>
      <c r="L18" s="603" t="s">
        <v>250</v>
      </c>
      <c r="M18" s="603"/>
      <c r="N18" s="603"/>
      <c r="O18" s="604"/>
      <c r="P18" s="418"/>
    </row>
    <row r="19" spans="1:17" ht="51.75" thickBot="1">
      <c r="A19" s="416"/>
      <c r="B19" s="419" t="s">
        <v>294</v>
      </c>
      <c r="C19" s="419" t="s">
        <v>295</v>
      </c>
      <c r="D19" s="420" t="s">
        <v>296</v>
      </c>
      <c r="E19" s="421" t="s">
        <v>297</v>
      </c>
      <c r="F19" s="420" t="s">
        <v>7</v>
      </c>
      <c r="G19" s="422" t="s">
        <v>298</v>
      </c>
      <c r="H19" s="421" t="s">
        <v>299</v>
      </c>
      <c r="I19" s="423" t="s">
        <v>300</v>
      </c>
      <c r="J19" s="424" t="s">
        <v>331</v>
      </c>
      <c r="K19" s="425" t="s">
        <v>301</v>
      </c>
      <c r="L19" s="423" t="s">
        <v>302</v>
      </c>
      <c r="M19" s="422" t="s">
        <v>303</v>
      </c>
      <c r="N19" s="422" t="s">
        <v>242</v>
      </c>
      <c r="O19" s="468" t="s">
        <v>304</v>
      </c>
    </row>
    <row r="20" spans="1:17" ht="13.5" thickTop="1">
      <c r="A20" s="416"/>
      <c r="B20" s="438"/>
      <c r="C20" s="416"/>
      <c r="D20" s="426"/>
      <c r="E20" s="427"/>
      <c r="F20" s="426"/>
      <c r="G20" s="428"/>
      <c r="H20" s="427"/>
      <c r="I20" s="429"/>
      <c r="J20" s="430"/>
      <c r="K20" s="431"/>
      <c r="L20" s="429"/>
      <c r="M20" s="428"/>
      <c r="N20" s="428"/>
      <c r="O20" s="431"/>
    </row>
    <row r="21" spans="1:17" hidden="1">
      <c r="A21" s="416"/>
      <c r="B21" s="467"/>
      <c r="C21" s="432" t="s">
        <v>305</v>
      </c>
      <c r="D21" s="433">
        <v>8122.2474481004047</v>
      </c>
      <c r="E21" s="434">
        <v>6.3890339550366548E-2</v>
      </c>
      <c r="F21" s="433">
        <v>127127.94305463674</v>
      </c>
      <c r="G21" s="435">
        <v>138074.54662917214</v>
      </c>
      <c r="H21" s="436">
        <v>17949.691061792379</v>
      </c>
      <c r="I21" s="433">
        <v>5203.0710711838192</v>
      </c>
      <c r="J21" s="435">
        <v>622.49824766910513</v>
      </c>
      <c r="K21" s="436">
        <v>12908.854408549541</v>
      </c>
      <c r="L21" s="433">
        <v>27057.622459222184</v>
      </c>
      <c r="M21" s="435">
        <v>1452.3793833112336</v>
      </c>
      <c r="N21" s="435">
        <v>25605.243075910952</v>
      </c>
      <c r="O21" s="437">
        <v>749.84611420901183</v>
      </c>
    </row>
    <row r="22" spans="1:17" hidden="1">
      <c r="A22" s="418"/>
      <c r="B22" s="438"/>
      <c r="C22" s="416"/>
      <c r="D22" s="426"/>
      <c r="E22" s="427"/>
      <c r="F22" s="426"/>
      <c r="G22" s="428"/>
      <c r="H22" s="427"/>
      <c r="I22" s="426"/>
      <c r="J22" s="428"/>
      <c r="K22" s="427"/>
      <c r="L22" s="426"/>
      <c r="M22" s="428"/>
      <c r="N22" s="428"/>
      <c r="O22" s="416"/>
    </row>
    <row r="23" spans="1:17" hidden="1">
      <c r="A23" s="611">
        <v>1</v>
      </c>
      <c r="B23" s="613" t="s">
        <v>316</v>
      </c>
      <c r="C23" s="462" t="s">
        <v>306</v>
      </c>
      <c r="D23" s="440">
        <v>8152.582175329906</v>
      </c>
      <c r="E23" s="441">
        <v>6.3874571350261616E-2</v>
      </c>
      <c r="F23" s="440">
        <v>127634.23695831213</v>
      </c>
      <c r="G23" s="442">
        <v>138074.54662917214</v>
      </c>
      <c r="H23" s="443">
        <v>17949.691061792379</v>
      </c>
      <c r="I23" s="440">
        <v>5230.6448278174812</v>
      </c>
      <c r="J23" s="444">
        <v>633.89086177631759</v>
      </c>
      <c r="K23" s="443">
        <v>12908.854408549541</v>
      </c>
      <c r="L23" s="440">
        <v>27126.923557192567</v>
      </c>
      <c r="M23" s="442">
        <v>1451.6683833112336</v>
      </c>
      <c r="N23" s="444">
        <v>25675.255173881334</v>
      </c>
      <c r="O23" s="445">
        <v>799.7105705404507</v>
      </c>
      <c r="Q23" s="409" t="str">
        <f>IF(AND(ISBLANK(B23), ISBLANK(C23)), "X", "")</f>
        <v/>
      </c>
    </row>
    <row r="24" spans="1:17" hidden="1">
      <c r="A24" s="611"/>
      <c r="B24" s="612"/>
      <c r="C24" s="463" t="s">
        <v>307</v>
      </c>
      <c r="D24" s="447">
        <f>IF(D23="","",D23-D21)</f>
        <v>30.334727229501368</v>
      </c>
      <c r="E24" s="448">
        <f t="shared" ref="E24:O24" si="0">IF(E23="","",E23-E21)</f>
        <v>-1.5768200104931962E-5</v>
      </c>
      <c r="F24" s="447">
        <f t="shared" si="0"/>
        <v>506.293903675396</v>
      </c>
      <c r="G24" s="449">
        <f t="shared" si="0"/>
        <v>0</v>
      </c>
      <c r="H24" s="450">
        <f t="shared" si="0"/>
        <v>0</v>
      </c>
      <c r="I24" s="447">
        <f t="shared" si="0"/>
        <v>27.573756633662015</v>
      </c>
      <c r="J24" s="449">
        <f t="shared" si="0"/>
        <v>11.392614107212466</v>
      </c>
      <c r="K24" s="451">
        <f t="shared" si="0"/>
        <v>0</v>
      </c>
      <c r="L24" s="447">
        <f t="shared" si="0"/>
        <v>69.301097970383125</v>
      </c>
      <c r="M24" s="449">
        <f t="shared" si="0"/>
        <v>-0.71100000000001273</v>
      </c>
      <c r="N24" s="449">
        <f t="shared" si="0"/>
        <v>70.012097970382456</v>
      </c>
      <c r="O24" s="452">
        <f t="shared" si="0"/>
        <v>49.864456331438873</v>
      </c>
    </row>
    <row r="25" spans="1:17" hidden="1">
      <c r="A25" s="611"/>
      <c r="B25" s="465"/>
      <c r="C25" s="464"/>
      <c r="D25" s="426"/>
      <c r="E25" s="427"/>
      <c r="F25" s="426"/>
      <c r="G25" s="428"/>
      <c r="H25" s="427"/>
      <c r="I25" s="426"/>
      <c r="J25" s="428"/>
      <c r="K25" s="427"/>
      <c r="L25" s="426"/>
      <c r="M25" s="428"/>
      <c r="N25" s="428"/>
      <c r="O25" s="416"/>
    </row>
    <row r="26" spans="1:17" ht="25.5" hidden="1">
      <c r="A26" s="611">
        <v>2</v>
      </c>
      <c r="B26" s="612" t="s">
        <v>317</v>
      </c>
      <c r="C26" s="462" t="s">
        <v>313</v>
      </c>
      <c r="D26" s="440">
        <v>8152.7370224780534</v>
      </c>
      <c r="E26" s="441">
        <v>6.3875784560383259E-2</v>
      </c>
      <c r="F26" s="440">
        <v>127634.23695831213</v>
      </c>
      <c r="G26" s="442">
        <v>138074.54662917214</v>
      </c>
      <c r="H26" s="443">
        <v>17949.691061792379</v>
      </c>
      <c r="I26" s="440">
        <v>5230.6448278174812</v>
      </c>
      <c r="J26" s="444">
        <v>572.33831972062035</v>
      </c>
      <c r="K26" s="443">
        <v>12908.854408549541</v>
      </c>
      <c r="L26" s="440">
        <v>27065.525862285016</v>
      </c>
      <c r="M26" s="442">
        <v>1451.6683833112336</v>
      </c>
      <c r="N26" s="444">
        <v>25613.857478973783</v>
      </c>
      <c r="O26" s="445">
        <v>777.57941259093604</v>
      </c>
      <c r="Q26" s="409" t="str">
        <f t="shared" ref="Q26" si="1">IF(AND(ISBLANK(B26), ISBLANK(C26)), "X", "")</f>
        <v/>
      </c>
    </row>
    <row r="27" spans="1:17" hidden="1">
      <c r="A27" s="611"/>
      <c r="B27" s="612"/>
      <c r="C27" s="463" t="s">
        <v>307</v>
      </c>
      <c r="D27" s="447">
        <f>IF(D26="","",D26-D23)</f>
        <v>0.15484714814738254</v>
      </c>
      <c r="E27" s="448">
        <f t="shared" ref="E27:O27" si="2">IF(E26="","",E26-E23)</f>
        <v>1.2132101216422164E-6</v>
      </c>
      <c r="F27" s="447">
        <f t="shared" si="2"/>
        <v>0</v>
      </c>
      <c r="G27" s="449">
        <f t="shared" si="2"/>
        <v>0</v>
      </c>
      <c r="H27" s="450">
        <f t="shared" si="2"/>
        <v>0</v>
      </c>
      <c r="I27" s="447">
        <f t="shared" si="2"/>
        <v>0</v>
      </c>
      <c r="J27" s="449">
        <f t="shared" si="2"/>
        <v>-61.552542055697245</v>
      </c>
      <c r="K27" s="451">
        <f t="shared" si="2"/>
        <v>0</v>
      </c>
      <c r="L27" s="447">
        <f t="shared" si="2"/>
        <v>-61.39769490755134</v>
      </c>
      <c r="M27" s="449">
        <f t="shared" si="2"/>
        <v>0</v>
      </c>
      <c r="N27" s="449">
        <f t="shared" si="2"/>
        <v>-61.39769490755134</v>
      </c>
      <c r="O27" s="452">
        <f t="shared" si="2"/>
        <v>-22.131157949514659</v>
      </c>
    </row>
    <row r="28" spans="1:17" hidden="1">
      <c r="A28" s="611"/>
      <c r="B28" s="465"/>
      <c r="C28" s="464"/>
      <c r="D28" s="426"/>
      <c r="E28" s="427"/>
      <c r="F28" s="426"/>
      <c r="G28" s="428"/>
      <c r="H28" s="427"/>
      <c r="I28" s="426"/>
      <c r="J28" s="428"/>
      <c r="K28" s="427"/>
      <c r="L28" s="426"/>
      <c r="M28" s="428"/>
      <c r="N28" s="428"/>
      <c r="O28" s="416"/>
    </row>
    <row r="29" spans="1:17" ht="25.5" hidden="1">
      <c r="A29" s="611">
        <v>3</v>
      </c>
      <c r="B29" s="612" t="s">
        <v>318</v>
      </c>
      <c r="C29" s="462" t="s">
        <v>314</v>
      </c>
      <c r="D29" s="440">
        <v>8151.3327756742901</v>
      </c>
      <c r="E29" s="441">
        <v>6.3859136005674555E-2</v>
      </c>
      <c r="F29" s="440">
        <v>127645.52240340298</v>
      </c>
      <c r="G29" s="442">
        <v>138161.35774525569</v>
      </c>
      <c r="H29" s="443">
        <v>17960.976506883242</v>
      </c>
      <c r="I29" s="440">
        <v>5230.6448278174812</v>
      </c>
      <c r="J29" s="444">
        <v>645.95572066117415</v>
      </c>
      <c r="K29" s="443">
        <v>12995.665524633081</v>
      </c>
      <c r="L29" s="440">
        <v>27224.550132505348</v>
      </c>
      <c r="M29" s="442">
        <v>1451.6683833112336</v>
      </c>
      <c r="N29" s="444">
        <v>25772.881749194115</v>
      </c>
      <c r="O29" s="445">
        <v>752.0175034510828</v>
      </c>
      <c r="Q29" s="409" t="str">
        <f t="shared" ref="Q29" si="3">IF(AND(ISBLANK(B29), ISBLANK(C29)), "X", "")</f>
        <v/>
      </c>
    </row>
    <row r="30" spans="1:17" hidden="1">
      <c r="A30" s="611"/>
      <c r="B30" s="612"/>
      <c r="C30" s="463" t="s">
        <v>307</v>
      </c>
      <c r="D30" s="447">
        <f>IF(D29="","",D29-D26)</f>
        <v>-1.4042468037632716</v>
      </c>
      <c r="E30" s="448">
        <f t="shared" ref="E30:O30" si="4">IF(E29="","",E29-E26)</f>
        <v>-1.6648554708703633E-5</v>
      </c>
      <c r="F30" s="447">
        <f t="shared" si="4"/>
        <v>11.285445090848953</v>
      </c>
      <c r="G30" s="449">
        <f t="shared" si="4"/>
        <v>86.811116083554225</v>
      </c>
      <c r="H30" s="450">
        <f t="shared" si="4"/>
        <v>11.285445090863504</v>
      </c>
      <c r="I30" s="447">
        <f t="shared" si="4"/>
        <v>0</v>
      </c>
      <c r="J30" s="449">
        <f t="shared" si="4"/>
        <v>73.617400940553807</v>
      </c>
      <c r="K30" s="451">
        <f t="shared" si="4"/>
        <v>86.811116083539673</v>
      </c>
      <c r="L30" s="447">
        <f t="shared" si="4"/>
        <v>159.02427022033226</v>
      </c>
      <c r="M30" s="449">
        <f t="shared" si="4"/>
        <v>0</v>
      </c>
      <c r="N30" s="449">
        <f t="shared" si="4"/>
        <v>159.02427022033226</v>
      </c>
      <c r="O30" s="452">
        <f t="shared" si="4"/>
        <v>-25.561909139853242</v>
      </c>
    </row>
    <row r="31" spans="1:17" hidden="1">
      <c r="A31" s="611"/>
      <c r="B31" s="465"/>
      <c r="C31" s="464"/>
      <c r="D31" s="426"/>
      <c r="E31" s="427"/>
      <c r="F31" s="426"/>
      <c r="G31" s="428"/>
      <c r="H31" s="427"/>
      <c r="I31" s="426"/>
      <c r="J31" s="428"/>
      <c r="K31" s="427"/>
      <c r="L31" s="426"/>
      <c r="M31" s="428"/>
      <c r="N31" s="428"/>
      <c r="O31" s="416"/>
    </row>
    <row r="32" spans="1:17" hidden="1">
      <c r="A32" s="611">
        <v>4</v>
      </c>
      <c r="B32" s="612" t="s">
        <v>319</v>
      </c>
      <c r="C32" s="462" t="s">
        <v>315</v>
      </c>
      <c r="D32" s="440">
        <v>8159.0768272123705</v>
      </c>
      <c r="E32" s="441">
        <v>6.3860691170039133E-2</v>
      </c>
      <c r="F32" s="440">
        <v>127763.67868439673</v>
      </c>
      <c r="G32" s="442">
        <v>139070.25221443831</v>
      </c>
      <c r="H32" s="443">
        <v>18079.132787876981</v>
      </c>
      <c r="I32" s="440">
        <v>5230.6448278174812</v>
      </c>
      <c r="J32" s="444">
        <v>647.5344837099509</v>
      </c>
      <c r="K32" s="443">
        <v>12995.665524633081</v>
      </c>
      <c r="L32" s="440">
        <v>27233.872947092204</v>
      </c>
      <c r="M32" s="442">
        <v>1448.2861410787477</v>
      </c>
      <c r="N32" s="444">
        <v>25785.586806013456</v>
      </c>
      <c r="O32" s="445">
        <v>763.63053369606041</v>
      </c>
      <c r="Q32" s="409" t="str">
        <f t="shared" ref="Q32" si="5">IF(AND(ISBLANK(B32), ISBLANK(C32)), "X", "")</f>
        <v/>
      </c>
    </row>
    <row r="33" spans="1:21" hidden="1">
      <c r="A33" s="611"/>
      <c r="B33" s="612"/>
      <c r="C33" s="463" t="s">
        <v>307</v>
      </c>
      <c r="D33" s="447">
        <f>IF(D32="","",D32-D29)</f>
        <v>7.7440515380803845</v>
      </c>
      <c r="E33" s="448">
        <f t="shared" ref="E33:O33" si="6">IF(E32="","",E32-E29)</f>
        <v>1.5551643645778102E-6</v>
      </c>
      <c r="F33" s="447">
        <f t="shared" si="6"/>
        <v>118.1562809937459</v>
      </c>
      <c r="G33" s="449">
        <f t="shared" si="6"/>
        <v>908.8944691826182</v>
      </c>
      <c r="H33" s="450">
        <f t="shared" si="6"/>
        <v>118.15628099373862</v>
      </c>
      <c r="I33" s="447">
        <f t="shared" si="6"/>
        <v>0</v>
      </c>
      <c r="J33" s="449">
        <f t="shared" si="6"/>
        <v>1.5787630487767501</v>
      </c>
      <c r="K33" s="451">
        <f t="shared" si="6"/>
        <v>0</v>
      </c>
      <c r="L33" s="447">
        <f t="shared" si="6"/>
        <v>9.3228145868561114</v>
      </c>
      <c r="M33" s="449">
        <f t="shared" si="6"/>
        <v>-3.3822422324858508</v>
      </c>
      <c r="N33" s="449">
        <f t="shared" si="6"/>
        <v>12.705056819340825</v>
      </c>
      <c r="O33" s="452">
        <f t="shared" si="6"/>
        <v>11.613030244977608</v>
      </c>
    </row>
    <row r="34" spans="1:21" hidden="1">
      <c r="A34" s="611"/>
      <c r="B34" s="465"/>
      <c r="C34" s="464"/>
      <c r="D34" s="426"/>
      <c r="E34" s="427"/>
      <c r="F34" s="426"/>
      <c r="G34" s="428"/>
      <c r="H34" s="427"/>
      <c r="I34" s="426"/>
      <c r="J34" s="428"/>
      <c r="K34" s="427"/>
      <c r="L34" s="426"/>
      <c r="M34" s="428"/>
      <c r="N34" s="428"/>
      <c r="O34" s="416"/>
    </row>
    <row r="35" spans="1:21" ht="38.25" hidden="1">
      <c r="A35" s="611">
        <v>5</v>
      </c>
      <c r="B35" s="613" t="s">
        <v>320</v>
      </c>
      <c r="C35" s="462" t="s">
        <v>321</v>
      </c>
      <c r="D35" s="440">
        <v>8572.9670560860905</v>
      </c>
      <c r="E35" s="441">
        <v>6.4045381153741546E-2</v>
      </c>
      <c r="F35" s="440">
        <v>133857.69436685217</v>
      </c>
      <c r="G35" s="442">
        <v>139070.25221443831</v>
      </c>
      <c r="H35" s="443">
        <v>18079.132787876981</v>
      </c>
      <c r="I35" s="440">
        <v>5316.309701479965</v>
      </c>
      <c r="J35" s="444">
        <v>572.3888815014941</v>
      </c>
      <c r="K35" s="443">
        <v>12995.665524633081</v>
      </c>
      <c r="L35" s="440">
        <v>27658.282447419948</v>
      </c>
      <c r="M35" s="442">
        <v>1448.2861410787477</v>
      </c>
      <c r="N35" s="444">
        <v>26209.9963063412</v>
      </c>
      <c r="O35" s="445">
        <v>1325.6999768010171</v>
      </c>
      <c r="Q35" s="409" t="str">
        <f t="shared" ref="Q35" si="7">IF(AND(ISBLANK(B35), ISBLANK(C35)), "X", "")</f>
        <v/>
      </c>
    </row>
    <row r="36" spans="1:21" hidden="1">
      <c r="A36" s="611"/>
      <c r="B36" s="612"/>
      <c r="C36" s="463" t="s">
        <v>307</v>
      </c>
      <c r="D36" s="447">
        <f>IF(D35="","",D35-D32)</f>
        <v>413.89022887371993</v>
      </c>
      <c r="E36" s="448">
        <f t="shared" ref="E36:O36" si="8">IF(E35="","",E35-E32)</f>
        <v>1.8468998370241296E-4</v>
      </c>
      <c r="F36" s="447">
        <f t="shared" si="8"/>
        <v>6094.0156824554433</v>
      </c>
      <c r="G36" s="449">
        <f t="shared" si="8"/>
        <v>0</v>
      </c>
      <c r="H36" s="450">
        <f t="shared" si="8"/>
        <v>0</v>
      </c>
      <c r="I36" s="447">
        <f t="shared" si="8"/>
        <v>85.664873662483842</v>
      </c>
      <c r="J36" s="449">
        <f t="shared" si="8"/>
        <v>-75.145602208456808</v>
      </c>
      <c r="K36" s="451">
        <f t="shared" si="8"/>
        <v>0</v>
      </c>
      <c r="L36" s="447">
        <f t="shared" si="8"/>
        <v>424.40950032774344</v>
      </c>
      <c r="M36" s="449">
        <f t="shared" si="8"/>
        <v>0</v>
      </c>
      <c r="N36" s="449">
        <f t="shared" si="8"/>
        <v>424.40950032774344</v>
      </c>
      <c r="O36" s="452">
        <f t="shared" si="8"/>
        <v>562.06944310495669</v>
      </c>
    </row>
    <row r="37" spans="1:21" hidden="1">
      <c r="A37" s="611"/>
      <c r="B37" s="438"/>
      <c r="C37" s="416"/>
      <c r="D37" s="426"/>
      <c r="E37" s="427"/>
      <c r="F37" s="426"/>
      <c r="G37" s="428"/>
      <c r="H37" s="427"/>
      <c r="I37" s="426"/>
      <c r="J37" s="428"/>
      <c r="K37" s="427"/>
      <c r="L37" s="426"/>
      <c r="M37" s="428"/>
      <c r="N37" s="428"/>
      <c r="O37" s="416"/>
    </row>
    <row r="38" spans="1:21" hidden="1">
      <c r="A38" s="611">
        <v>6</v>
      </c>
      <c r="B38" s="613" t="s">
        <v>325</v>
      </c>
      <c r="C38" s="439" t="s">
        <v>322</v>
      </c>
      <c r="D38" s="440">
        <v>8578.3435504205681</v>
      </c>
      <c r="E38" s="441">
        <v>6.404506913479506E-2</v>
      </c>
      <c r="F38" s="440">
        <v>133942.29511042932</v>
      </c>
      <c r="G38" s="442">
        <v>139721.02716503156</v>
      </c>
      <c r="H38" s="443">
        <v>18163.733531454101</v>
      </c>
      <c r="I38" s="440">
        <v>5316.309701479965</v>
      </c>
      <c r="J38" s="444">
        <v>573.51837177335517</v>
      </c>
      <c r="K38" s="443">
        <v>12995.665524633081</v>
      </c>
      <c r="L38" s="440">
        <v>27664.788432026289</v>
      </c>
      <c r="M38" s="442">
        <v>1448.2861410787477</v>
      </c>
      <c r="N38" s="444">
        <v>26216.502290947541</v>
      </c>
      <c r="O38" s="445">
        <v>1383.1974993070851</v>
      </c>
      <c r="P38" s="418"/>
      <c r="Q38" s="418" t="str">
        <f t="shared" ref="Q38" si="9">IF(AND(ISBLANK(B38), ISBLANK(C38)), "X", "")</f>
        <v/>
      </c>
      <c r="R38" s="418"/>
      <c r="S38" s="418"/>
      <c r="T38" s="418"/>
      <c r="U38" s="418"/>
    </row>
    <row r="39" spans="1:21" hidden="1">
      <c r="A39" s="611"/>
      <c r="B39" s="612"/>
      <c r="C39" s="446" t="s">
        <v>307</v>
      </c>
      <c r="D39" s="447">
        <f>IF(D38="","",D38-D35)</f>
        <v>5.3764943344776839</v>
      </c>
      <c r="E39" s="448">
        <f t="shared" ref="E39:O39" si="10">IF(E38="","",E38-E35)</f>
        <v>-3.1201894648558159E-7</v>
      </c>
      <c r="F39" s="447">
        <f t="shared" si="10"/>
        <v>84.600743577146204</v>
      </c>
      <c r="G39" s="449">
        <f t="shared" si="10"/>
        <v>650.77495059324428</v>
      </c>
      <c r="H39" s="450">
        <f t="shared" si="10"/>
        <v>84.600743577120738</v>
      </c>
      <c r="I39" s="447">
        <f t="shared" si="10"/>
        <v>0</v>
      </c>
      <c r="J39" s="449">
        <f t="shared" si="10"/>
        <v>1.1294902718610729</v>
      </c>
      <c r="K39" s="451">
        <f t="shared" si="10"/>
        <v>0</v>
      </c>
      <c r="L39" s="447">
        <f t="shared" si="10"/>
        <v>6.5059846063413715</v>
      </c>
      <c r="M39" s="449">
        <f t="shared" si="10"/>
        <v>0</v>
      </c>
      <c r="N39" s="449">
        <f t="shared" si="10"/>
        <v>6.5059846063413715</v>
      </c>
      <c r="O39" s="452">
        <f t="shared" si="10"/>
        <v>57.49752250606798</v>
      </c>
      <c r="P39" s="418"/>
      <c r="Q39" s="418"/>
      <c r="R39" s="418"/>
      <c r="S39" s="418"/>
      <c r="T39" s="418"/>
      <c r="U39" s="418"/>
    </row>
    <row r="40" spans="1:21" hidden="1">
      <c r="A40" s="614"/>
      <c r="B40" s="465"/>
      <c r="C40" s="416"/>
      <c r="D40" s="426"/>
      <c r="E40" s="427"/>
      <c r="F40" s="426"/>
      <c r="G40" s="428"/>
      <c r="H40" s="427"/>
      <c r="I40" s="426"/>
      <c r="J40" s="428"/>
      <c r="K40" s="427"/>
      <c r="L40" s="426"/>
      <c r="M40" s="428"/>
      <c r="N40" s="428"/>
      <c r="O40" s="416"/>
      <c r="P40" s="418"/>
      <c r="Q40" s="418"/>
      <c r="R40" s="418"/>
      <c r="S40" s="418"/>
      <c r="T40" s="418"/>
      <c r="U40" s="418"/>
    </row>
    <row r="41" spans="1:21" ht="25.5" hidden="1">
      <c r="A41" s="611">
        <v>7</v>
      </c>
      <c r="B41" s="615" t="s">
        <v>324</v>
      </c>
      <c r="C41" s="439" t="s">
        <v>326</v>
      </c>
      <c r="D41" s="440">
        <v>8392.5801421746819</v>
      </c>
      <c r="E41" s="441">
        <v>6.4054678559121309E-2</v>
      </c>
      <c r="F41" s="440">
        <v>131022.12564268016</v>
      </c>
      <c r="G41" s="442">
        <v>139721.02716503156</v>
      </c>
      <c r="H41" s="443">
        <v>15243.564063704944</v>
      </c>
      <c r="I41" s="440">
        <v>5316.309701479965</v>
      </c>
      <c r="J41" s="444">
        <v>534.54157141006192</v>
      </c>
      <c r="K41" s="443">
        <v>12995.665524633081</v>
      </c>
      <c r="L41" s="440">
        <v>27440.04822341711</v>
      </c>
      <c r="M41" s="442">
        <v>1448.2861410787477</v>
      </c>
      <c r="N41" s="444">
        <v>25991.762082338362</v>
      </c>
      <c r="O41" s="445">
        <v>1355.0324964747099</v>
      </c>
      <c r="Q41" s="409" t="str">
        <f t="shared" ref="Q41" si="11">IF(AND(ISBLANK(B41), ISBLANK(C41)), "X", "")</f>
        <v/>
      </c>
    </row>
    <row r="42" spans="1:21" hidden="1">
      <c r="A42" s="611"/>
      <c r="B42" s="616"/>
      <c r="C42" s="446" t="s">
        <v>307</v>
      </c>
      <c r="D42" s="447">
        <f>IF(D41="","",D41-D38)</f>
        <v>-185.76340824588624</v>
      </c>
      <c r="E42" s="448">
        <f t="shared" ref="E42:O42" si="12">IF(E41="","",E41-E38)</f>
        <v>9.6094243262484502E-6</v>
      </c>
      <c r="F42" s="447">
        <f t="shared" si="12"/>
        <v>-2920.1694677491614</v>
      </c>
      <c r="G42" s="449">
        <f t="shared" si="12"/>
        <v>0</v>
      </c>
      <c r="H42" s="450">
        <f t="shared" si="12"/>
        <v>-2920.1694677491578</v>
      </c>
      <c r="I42" s="447">
        <f t="shared" si="12"/>
        <v>0</v>
      </c>
      <c r="J42" s="449">
        <f t="shared" si="12"/>
        <v>-38.97680036329325</v>
      </c>
      <c r="K42" s="451">
        <f t="shared" si="12"/>
        <v>0</v>
      </c>
      <c r="L42" s="447">
        <f t="shared" si="12"/>
        <v>-224.74020860917881</v>
      </c>
      <c r="M42" s="449">
        <f t="shared" si="12"/>
        <v>0</v>
      </c>
      <c r="N42" s="449">
        <f t="shared" si="12"/>
        <v>-224.74020860917881</v>
      </c>
      <c r="O42" s="452">
        <f t="shared" si="12"/>
        <v>-28.165002832375194</v>
      </c>
    </row>
    <row r="43" spans="1:21" hidden="1">
      <c r="A43" s="611"/>
      <c r="B43" s="438"/>
      <c r="C43" s="416"/>
      <c r="D43" s="426"/>
      <c r="E43" s="427"/>
      <c r="F43" s="426"/>
      <c r="G43" s="428"/>
      <c r="H43" s="427"/>
      <c r="I43" s="426"/>
      <c r="J43" s="428"/>
      <c r="K43" s="427"/>
      <c r="L43" s="426"/>
      <c r="M43" s="428"/>
      <c r="N43" s="428"/>
      <c r="O43" s="416"/>
    </row>
    <row r="44" spans="1:21" hidden="1">
      <c r="A44" s="611">
        <v>8</v>
      </c>
      <c r="B44" s="615" t="s">
        <v>324</v>
      </c>
      <c r="C44" s="439" t="s">
        <v>327</v>
      </c>
      <c r="D44" s="440">
        <v>8397.2782305431829</v>
      </c>
      <c r="E44" s="441">
        <v>6.4054706266370623E-2</v>
      </c>
      <c r="F44" s="440">
        <v>131095.41390484592</v>
      </c>
      <c r="G44" s="442">
        <v>140392.78025546035</v>
      </c>
      <c r="H44" s="443">
        <v>15316.852325870725</v>
      </c>
      <c r="I44" s="440">
        <v>5316.309701479965</v>
      </c>
      <c r="J44" s="444">
        <v>535.51951985879418</v>
      </c>
      <c r="K44" s="443">
        <v>12995.665524633081</v>
      </c>
      <c r="L44" s="440">
        <v>27445.724260234339</v>
      </c>
      <c r="M44" s="442">
        <v>1385.1791016357251</v>
      </c>
      <c r="N44" s="444">
        <v>26060.545158598616</v>
      </c>
      <c r="O44" s="445">
        <v>1333.3222534567899</v>
      </c>
      <c r="Q44" s="409" t="str">
        <f t="shared" ref="Q44" si="13">IF(AND(ISBLANK(B44), ISBLANK(C44)), "X", "")</f>
        <v/>
      </c>
    </row>
    <row r="45" spans="1:21" hidden="1">
      <c r="A45" s="611"/>
      <c r="B45" s="616"/>
      <c r="C45" s="446" t="s">
        <v>307</v>
      </c>
      <c r="D45" s="447">
        <f>IF(D44="","",D44-D41)</f>
        <v>4.6980883685009758</v>
      </c>
      <c r="E45" s="448">
        <f t="shared" ref="E45:O45" si="14">IF(E44="","",E44-E41)</f>
        <v>2.7707249314334881E-8</v>
      </c>
      <c r="F45" s="447">
        <f t="shared" si="14"/>
        <v>73.288262165762717</v>
      </c>
      <c r="G45" s="449">
        <f t="shared" si="14"/>
        <v>671.75309042879962</v>
      </c>
      <c r="H45" s="450">
        <f t="shared" si="14"/>
        <v>73.288262165780907</v>
      </c>
      <c r="I45" s="447">
        <f t="shared" si="14"/>
        <v>0</v>
      </c>
      <c r="J45" s="449">
        <f t="shared" si="14"/>
        <v>0.97794844873226339</v>
      </c>
      <c r="K45" s="451">
        <f t="shared" si="14"/>
        <v>0</v>
      </c>
      <c r="L45" s="447">
        <f t="shared" si="14"/>
        <v>5.6760368172290327</v>
      </c>
      <c r="M45" s="449">
        <f t="shared" si="14"/>
        <v>-63.107039443022586</v>
      </c>
      <c r="N45" s="449">
        <f t="shared" si="14"/>
        <v>68.783076260253438</v>
      </c>
      <c r="O45" s="452">
        <f t="shared" si="14"/>
        <v>-21.710243017919993</v>
      </c>
    </row>
    <row r="46" spans="1:21" hidden="1">
      <c r="A46" s="611"/>
      <c r="B46" s="438"/>
      <c r="C46" s="416"/>
      <c r="D46" s="426"/>
      <c r="E46" s="427"/>
      <c r="F46" s="426"/>
      <c r="G46" s="428"/>
      <c r="H46" s="427"/>
      <c r="I46" s="426"/>
      <c r="J46" s="428"/>
      <c r="K46" s="427"/>
      <c r="L46" s="426"/>
      <c r="M46" s="428"/>
      <c r="N46" s="428"/>
      <c r="O46" s="416"/>
    </row>
    <row r="47" spans="1:21" ht="25.5" hidden="1">
      <c r="A47" s="611">
        <v>9</v>
      </c>
      <c r="B47" s="615" t="s">
        <v>324</v>
      </c>
      <c r="C47" s="462" t="s">
        <v>328</v>
      </c>
      <c r="D47" s="440">
        <v>8392.2465837915752</v>
      </c>
      <c r="E47" s="441">
        <v>6.4055101873006573E-2</v>
      </c>
      <c r="F47" s="440">
        <v>131016.05240484593</v>
      </c>
      <c r="G47" s="442">
        <v>140392.78025546035</v>
      </c>
      <c r="H47" s="443">
        <v>15316.852325870725</v>
      </c>
      <c r="I47" s="440">
        <v>5316.309701479965</v>
      </c>
      <c r="J47" s="444">
        <v>534.46053160425004</v>
      </c>
      <c r="K47" s="443">
        <v>12995.665524633081</v>
      </c>
      <c r="L47" s="440">
        <v>27439.633625228191</v>
      </c>
      <c r="M47" s="442">
        <v>1385.1791016357251</v>
      </c>
      <c r="N47" s="444">
        <v>26054.454523592467</v>
      </c>
      <c r="O47" s="445">
        <v>1336.722816633325</v>
      </c>
      <c r="Q47" s="409" t="str">
        <f t="shared" ref="Q47" si="15">IF(AND(ISBLANK(B47), ISBLANK(C47)), "X", "")</f>
        <v/>
      </c>
    </row>
    <row r="48" spans="1:21" hidden="1">
      <c r="A48" s="611"/>
      <c r="B48" s="616"/>
      <c r="C48" s="463" t="s">
        <v>307</v>
      </c>
      <c r="D48" s="447">
        <f>IF(D47="","",D47-D44)</f>
        <v>-5.0316467516076955</v>
      </c>
      <c r="E48" s="448">
        <f t="shared" ref="E48:O48" si="16">IF(E47="","",E47-E44)</f>
        <v>3.9560663595006318E-7</v>
      </c>
      <c r="F48" s="447">
        <f t="shared" si="16"/>
        <v>-79.361499999984517</v>
      </c>
      <c r="G48" s="449">
        <f t="shared" si="16"/>
        <v>0</v>
      </c>
      <c r="H48" s="450">
        <f t="shared" si="16"/>
        <v>0</v>
      </c>
      <c r="I48" s="447">
        <f t="shared" si="16"/>
        <v>0</v>
      </c>
      <c r="J48" s="449">
        <f t="shared" si="16"/>
        <v>-1.0589882545441469</v>
      </c>
      <c r="K48" s="451">
        <f t="shared" si="16"/>
        <v>0</v>
      </c>
      <c r="L48" s="447">
        <f t="shared" si="16"/>
        <v>-6.0906350061486592</v>
      </c>
      <c r="M48" s="449">
        <f t="shared" si="16"/>
        <v>0</v>
      </c>
      <c r="N48" s="449">
        <f t="shared" si="16"/>
        <v>-6.0906350061486592</v>
      </c>
      <c r="O48" s="452">
        <f t="shared" si="16"/>
        <v>3.4005631765351154</v>
      </c>
    </row>
    <row r="49" spans="1:21" hidden="1">
      <c r="A49" s="611"/>
      <c r="B49" s="438"/>
      <c r="C49" s="416"/>
      <c r="D49" s="426"/>
      <c r="E49" s="427"/>
      <c r="F49" s="426"/>
      <c r="G49" s="428"/>
      <c r="H49" s="427"/>
      <c r="I49" s="426"/>
      <c r="J49" s="428"/>
      <c r="K49" s="427"/>
      <c r="L49" s="426"/>
      <c r="M49" s="428"/>
      <c r="N49" s="428"/>
      <c r="O49" s="416"/>
    </row>
    <row r="50" spans="1:21" ht="38.25" hidden="1">
      <c r="A50" s="611">
        <v>10</v>
      </c>
      <c r="B50" s="615" t="s">
        <v>324</v>
      </c>
      <c r="C50" s="462" t="s">
        <v>329</v>
      </c>
      <c r="D50" s="440">
        <v>8392.5127717617124</v>
      </c>
      <c r="E50" s="441">
        <v>6.4055148531703132E-2</v>
      </c>
      <c r="F50" s="440">
        <v>131020.1125770236</v>
      </c>
      <c r="G50" s="442">
        <v>140429.99539916034</v>
      </c>
      <c r="H50" s="443">
        <v>15320.912498048394</v>
      </c>
      <c r="I50" s="440">
        <v>5316.309701479965</v>
      </c>
      <c r="J50" s="444">
        <v>534.51470954157105</v>
      </c>
      <c r="K50" s="443">
        <v>13032.88066833308</v>
      </c>
      <c r="L50" s="440">
        <v>27477.169134835647</v>
      </c>
      <c r="M50" s="442">
        <v>1385.1791016357251</v>
      </c>
      <c r="N50" s="444">
        <v>26091.990033199923</v>
      </c>
      <c r="O50" s="445">
        <v>1351.2281378491246</v>
      </c>
      <c r="Q50" s="409" t="str">
        <f t="shared" ref="Q50" si="17">IF(AND(ISBLANK(B50), ISBLANK(C50)), "X", "")</f>
        <v/>
      </c>
    </row>
    <row r="51" spans="1:21" hidden="1">
      <c r="A51" s="611"/>
      <c r="B51" s="616"/>
      <c r="C51" s="463" t="s">
        <v>307</v>
      </c>
      <c r="D51" s="447">
        <f>IF(D50="","",D50-D47)</f>
        <v>0.26618797013725271</v>
      </c>
      <c r="E51" s="448">
        <f t="shared" ref="E51:O51" si="18">IF(E50="","",E50-E47)</f>
        <v>4.6658696559176427E-8</v>
      </c>
      <c r="F51" s="447">
        <f t="shared" si="18"/>
        <v>4.0601721776620252</v>
      </c>
      <c r="G51" s="449">
        <f t="shared" si="18"/>
        <v>37.215143699984765</v>
      </c>
      <c r="H51" s="450">
        <f t="shared" si="18"/>
        <v>4.0601721776693012</v>
      </c>
      <c r="I51" s="447">
        <f t="shared" si="18"/>
        <v>0</v>
      </c>
      <c r="J51" s="449">
        <f t="shared" si="18"/>
        <v>5.4177937321014724E-2</v>
      </c>
      <c r="K51" s="451">
        <f t="shared" si="18"/>
        <v>37.215143699999317</v>
      </c>
      <c r="L51" s="447">
        <f t="shared" si="18"/>
        <v>37.535509607456333</v>
      </c>
      <c r="M51" s="449">
        <f t="shared" si="18"/>
        <v>0</v>
      </c>
      <c r="N51" s="449">
        <f t="shared" si="18"/>
        <v>37.535509607456333</v>
      </c>
      <c r="O51" s="452">
        <f t="shared" si="18"/>
        <v>14.50532121579954</v>
      </c>
    </row>
    <row r="52" spans="1:21" hidden="1">
      <c r="A52" s="611"/>
      <c r="B52" s="438"/>
      <c r="C52" s="416"/>
      <c r="D52" s="426"/>
      <c r="E52" s="427"/>
      <c r="F52" s="426"/>
      <c r="G52" s="428"/>
      <c r="H52" s="427"/>
      <c r="I52" s="426"/>
      <c r="J52" s="428"/>
      <c r="K52" s="427"/>
      <c r="L52" s="426"/>
      <c r="M52" s="428"/>
      <c r="N52" s="428"/>
      <c r="O52" s="416"/>
    </row>
    <row r="53" spans="1:21" ht="25.5" hidden="1">
      <c r="A53" s="611">
        <v>11</v>
      </c>
      <c r="B53" s="615" t="s">
        <v>324</v>
      </c>
      <c r="C53" s="439" t="s">
        <v>330</v>
      </c>
      <c r="D53" s="440">
        <v>8047.4317992588376</v>
      </c>
      <c r="E53" s="441">
        <v>6.1421347005238935E-2</v>
      </c>
      <c r="F53" s="440">
        <v>131020.1125770236</v>
      </c>
      <c r="G53" s="442">
        <v>140429.99539916034</v>
      </c>
      <c r="H53" s="443">
        <v>15320.912498048394</v>
      </c>
      <c r="I53" s="440">
        <v>5316.309701479965</v>
      </c>
      <c r="J53" s="444">
        <v>534.51470954157105</v>
      </c>
      <c r="K53" s="443">
        <v>13032.88066833308</v>
      </c>
      <c r="L53" s="440">
        <v>27132.08816233277</v>
      </c>
      <c r="M53" s="442">
        <v>1385.1791016357251</v>
      </c>
      <c r="N53" s="444">
        <v>25746.909060697046</v>
      </c>
      <c r="O53" s="445">
        <v>1426.7970570890361</v>
      </c>
      <c r="Q53" s="409" t="str">
        <f t="shared" ref="Q53" si="19">IF(AND(ISBLANK(B53), ISBLANK(C53)), "X", "")</f>
        <v/>
      </c>
      <c r="S53" s="610" t="s">
        <v>332</v>
      </c>
      <c r="T53" s="610"/>
      <c r="U53" s="610"/>
    </row>
    <row r="54" spans="1:21" hidden="1">
      <c r="A54" s="611"/>
      <c r="B54" s="616"/>
      <c r="C54" s="446" t="s">
        <v>307</v>
      </c>
      <c r="D54" s="447">
        <f>IF(D53="","",D53-D50)</f>
        <v>-345.08097250287483</v>
      </c>
      <c r="E54" s="448">
        <f t="shared" ref="E54:O54" si="20">IF(E53="","",E53-E50)</f>
        <v>-2.6338015264641967E-3</v>
      </c>
      <c r="F54" s="447">
        <f t="shared" si="20"/>
        <v>0</v>
      </c>
      <c r="G54" s="449">
        <f t="shared" si="20"/>
        <v>0</v>
      </c>
      <c r="H54" s="450">
        <f t="shared" si="20"/>
        <v>0</v>
      </c>
      <c r="I54" s="447">
        <f t="shared" si="20"/>
        <v>0</v>
      </c>
      <c r="J54" s="449">
        <f t="shared" si="20"/>
        <v>0</v>
      </c>
      <c r="K54" s="451">
        <f t="shared" si="20"/>
        <v>0</v>
      </c>
      <c r="L54" s="447">
        <f t="shared" si="20"/>
        <v>-345.08097250287756</v>
      </c>
      <c r="M54" s="449">
        <f t="shared" si="20"/>
        <v>0</v>
      </c>
      <c r="N54" s="449">
        <f t="shared" si="20"/>
        <v>-345.08097250287756</v>
      </c>
      <c r="O54" s="452">
        <f t="shared" si="20"/>
        <v>75.568919239911565</v>
      </c>
    </row>
    <row r="55" spans="1:21" hidden="1">
      <c r="A55" s="611"/>
      <c r="B55" s="438"/>
      <c r="C55" s="416"/>
      <c r="D55" s="426"/>
      <c r="E55" s="427"/>
      <c r="F55" s="426"/>
      <c r="G55" s="428"/>
      <c r="H55" s="427"/>
      <c r="I55" s="426"/>
      <c r="J55" s="428"/>
      <c r="K55" s="427"/>
      <c r="L55" s="426"/>
      <c r="M55" s="428"/>
      <c r="N55" s="428"/>
      <c r="O55" s="416"/>
    </row>
    <row r="56" spans="1:21" ht="25.5" hidden="1">
      <c r="A56" s="611">
        <v>12</v>
      </c>
      <c r="B56" s="613" t="s">
        <v>335</v>
      </c>
      <c r="C56" s="462" t="s">
        <v>333</v>
      </c>
      <c r="D56" s="440">
        <v>8047.4317992588376</v>
      </c>
      <c r="E56" s="441">
        <v>6.1421347005238935E-2</v>
      </c>
      <c r="F56" s="440">
        <v>131020.1125770236</v>
      </c>
      <c r="G56" s="442">
        <v>140429.99539916034</v>
      </c>
      <c r="H56" s="443">
        <v>15320.912498048394</v>
      </c>
      <c r="I56" s="440">
        <v>5316.309701479965</v>
      </c>
      <c r="J56" s="444">
        <v>534.51470954157105</v>
      </c>
      <c r="K56" s="443">
        <v>13032.88066833308</v>
      </c>
      <c r="L56" s="440">
        <v>27132.08816233277</v>
      </c>
      <c r="M56" s="442">
        <v>1385.1791016357251</v>
      </c>
      <c r="N56" s="444">
        <v>25746.909060697046</v>
      </c>
      <c r="O56" s="445">
        <v>1429.9534385524641</v>
      </c>
      <c r="Q56" s="409" t="str">
        <f t="shared" ref="Q56" si="21">IF(AND(ISBLANK(B56), ISBLANK(C56)), "X", "")</f>
        <v/>
      </c>
    </row>
    <row r="57" spans="1:21" hidden="1">
      <c r="A57" s="611"/>
      <c r="B57" s="612"/>
      <c r="C57" s="463" t="s">
        <v>307</v>
      </c>
      <c r="D57" s="447">
        <f>IF(D56="","",D56-D53)</f>
        <v>0</v>
      </c>
      <c r="E57" s="448">
        <f t="shared" ref="E57:O57" si="22">IF(E56="","",E56-E53)</f>
        <v>0</v>
      </c>
      <c r="F57" s="447">
        <f t="shared" si="22"/>
        <v>0</v>
      </c>
      <c r="G57" s="449">
        <f t="shared" si="22"/>
        <v>0</v>
      </c>
      <c r="H57" s="450">
        <f t="shared" si="22"/>
        <v>0</v>
      </c>
      <c r="I57" s="447">
        <f t="shared" si="22"/>
        <v>0</v>
      </c>
      <c r="J57" s="449">
        <f t="shared" si="22"/>
        <v>0</v>
      </c>
      <c r="K57" s="451">
        <f t="shared" si="22"/>
        <v>0</v>
      </c>
      <c r="L57" s="447">
        <f t="shared" si="22"/>
        <v>0</v>
      </c>
      <c r="M57" s="449">
        <f t="shared" si="22"/>
        <v>0</v>
      </c>
      <c r="N57" s="449">
        <f t="shared" si="22"/>
        <v>0</v>
      </c>
      <c r="O57" s="452">
        <f t="shared" si="22"/>
        <v>3.1563814634280334</v>
      </c>
    </row>
    <row r="58" spans="1:21" hidden="1">
      <c r="A58" s="611"/>
      <c r="B58" s="438"/>
      <c r="C58" s="416"/>
      <c r="D58" s="426"/>
      <c r="E58" s="427"/>
      <c r="F58" s="426"/>
      <c r="G58" s="428"/>
      <c r="H58" s="427"/>
      <c r="I58" s="426"/>
      <c r="J58" s="428"/>
      <c r="K58" s="427"/>
      <c r="L58" s="426"/>
      <c r="M58" s="428"/>
      <c r="N58" s="428"/>
      <c r="O58" s="416"/>
    </row>
    <row r="59" spans="1:21" hidden="1">
      <c r="A59" s="611">
        <v>13</v>
      </c>
      <c r="B59" s="613" t="s">
        <v>336</v>
      </c>
      <c r="C59" s="462" t="s">
        <v>334</v>
      </c>
      <c r="D59" s="440">
        <v>8047.4317992588376</v>
      </c>
      <c r="E59" s="441">
        <v>6.1421347005238935E-2</v>
      </c>
      <c r="F59" s="440">
        <v>131020.1125770236</v>
      </c>
      <c r="G59" s="442">
        <v>140429.99539916034</v>
      </c>
      <c r="H59" s="443">
        <v>15320.912498048394</v>
      </c>
      <c r="I59" s="440">
        <v>5316.309701479965</v>
      </c>
      <c r="J59" s="444">
        <v>534.51470954157105</v>
      </c>
      <c r="K59" s="443">
        <v>13032.88066833308</v>
      </c>
      <c r="L59" s="440">
        <v>27132.08816233277</v>
      </c>
      <c r="M59" s="442">
        <v>1429.2743545091862</v>
      </c>
      <c r="N59" s="444">
        <v>25702.813807823582</v>
      </c>
      <c r="O59" s="445">
        <v>1400.2691701137776</v>
      </c>
      <c r="Q59" s="409" t="str">
        <f t="shared" ref="Q59" si="23">IF(AND(ISBLANK(B59), ISBLANK(C59)), "X", "")</f>
        <v/>
      </c>
    </row>
    <row r="60" spans="1:21" hidden="1">
      <c r="A60" s="611"/>
      <c r="B60" s="612"/>
      <c r="C60" s="463" t="s">
        <v>307</v>
      </c>
      <c r="D60" s="447">
        <f>IF(D59="","",D59-D56)</f>
        <v>0</v>
      </c>
      <c r="E60" s="448">
        <f t="shared" ref="E60:O60" si="24">IF(E59="","",E59-E56)</f>
        <v>0</v>
      </c>
      <c r="F60" s="447">
        <f t="shared" si="24"/>
        <v>0</v>
      </c>
      <c r="G60" s="449">
        <f t="shared" si="24"/>
        <v>0</v>
      </c>
      <c r="H60" s="450">
        <f t="shared" si="24"/>
        <v>0</v>
      </c>
      <c r="I60" s="447">
        <f t="shared" si="24"/>
        <v>0</v>
      </c>
      <c r="J60" s="449">
        <f t="shared" si="24"/>
        <v>0</v>
      </c>
      <c r="K60" s="451">
        <f t="shared" si="24"/>
        <v>0</v>
      </c>
      <c r="L60" s="447">
        <f t="shared" si="24"/>
        <v>0</v>
      </c>
      <c r="M60" s="449">
        <f t="shared" si="24"/>
        <v>44.09525287346105</v>
      </c>
      <c r="N60" s="449">
        <f t="shared" si="24"/>
        <v>-44.095252873463323</v>
      </c>
      <c r="O60" s="452">
        <f t="shared" si="24"/>
        <v>-29.684268438686559</v>
      </c>
    </row>
    <row r="61" spans="1:21" hidden="1">
      <c r="A61" s="611"/>
      <c r="B61" s="438"/>
      <c r="C61" s="416"/>
      <c r="D61" s="426"/>
      <c r="E61" s="427"/>
      <c r="F61" s="426"/>
      <c r="G61" s="428"/>
      <c r="H61" s="427"/>
      <c r="I61" s="426"/>
      <c r="J61" s="428"/>
      <c r="K61" s="427"/>
      <c r="L61" s="426"/>
      <c r="M61" s="428"/>
      <c r="N61" s="428"/>
      <c r="O61" s="416"/>
    </row>
    <row r="62" spans="1:21" ht="25.5" hidden="1">
      <c r="A62" s="611">
        <v>14</v>
      </c>
      <c r="B62" s="613" t="s">
        <v>337</v>
      </c>
      <c r="C62" s="469" t="s">
        <v>338</v>
      </c>
      <c r="D62" s="440">
        <v>7970.6657439103692</v>
      </c>
      <c r="E62" s="441">
        <v>6.1421347005238935E-2</v>
      </c>
      <c r="F62" s="440">
        <v>129770.28561797107</v>
      </c>
      <c r="G62" s="442">
        <v>140429.99539916034</v>
      </c>
      <c r="H62" s="443">
        <v>14071.085538995865</v>
      </c>
      <c r="I62" s="440">
        <v>5316.309701479965</v>
      </c>
      <c r="J62" s="444">
        <v>517.83945226724518</v>
      </c>
      <c r="K62" s="443">
        <v>13032.88066833308</v>
      </c>
      <c r="L62" s="440">
        <v>27038.646849709978</v>
      </c>
      <c r="M62" s="442">
        <v>1429.2743545091862</v>
      </c>
      <c r="N62" s="444">
        <v>25609.372495200791</v>
      </c>
      <c r="O62" s="445">
        <v>1429.0889146961317</v>
      </c>
      <c r="Q62" s="409" t="str">
        <f t="shared" ref="Q62" si="25">IF(AND(ISBLANK(B62), ISBLANK(C62)), "X", "")</f>
        <v/>
      </c>
      <c r="S62" s="610" t="s">
        <v>339</v>
      </c>
      <c r="T62" s="610"/>
      <c r="U62" s="610"/>
    </row>
    <row r="63" spans="1:21" hidden="1">
      <c r="A63" s="611"/>
      <c r="B63" s="612"/>
      <c r="C63" s="446" t="s">
        <v>307</v>
      </c>
      <c r="D63" s="447">
        <f>IF(D62="","",D62-D59)</f>
        <v>-76.766055348468399</v>
      </c>
      <c r="E63" s="448">
        <f t="shared" ref="E63:O63" si="26">IF(E62="","",E62-E59)</f>
        <v>0</v>
      </c>
      <c r="F63" s="447">
        <f t="shared" si="26"/>
        <v>-1249.8269590525306</v>
      </c>
      <c r="G63" s="449">
        <f t="shared" si="26"/>
        <v>0</v>
      </c>
      <c r="H63" s="450">
        <f t="shared" si="26"/>
        <v>-1249.8269590525288</v>
      </c>
      <c r="I63" s="447">
        <f t="shared" si="26"/>
        <v>0</v>
      </c>
      <c r="J63" s="449">
        <f t="shared" si="26"/>
        <v>-16.675257274325872</v>
      </c>
      <c r="K63" s="451">
        <f t="shared" si="26"/>
        <v>0</v>
      </c>
      <c r="L63" s="447">
        <f t="shared" si="26"/>
        <v>-93.441312622791884</v>
      </c>
      <c r="M63" s="449">
        <f t="shared" si="26"/>
        <v>0</v>
      </c>
      <c r="N63" s="449">
        <f t="shared" si="26"/>
        <v>-93.441312622791884</v>
      </c>
      <c r="O63" s="452">
        <f t="shared" si="26"/>
        <v>28.819744582354133</v>
      </c>
      <c r="S63" s="610"/>
      <c r="T63" s="610"/>
      <c r="U63" s="610"/>
    </row>
    <row r="64" spans="1:21" hidden="1">
      <c r="A64" s="611"/>
      <c r="B64" s="438"/>
      <c r="C64" s="416"/>
      <c r="D64" s="426"/>
      <c r="E64" s="427"/>
      <c r="F64" s="426"/>
      <c r="G64" s="428"/>
      <c r="H64" s="427"/>
      <c r="I64" s="426"/>
      <c r="J64" s="428"/>
      <c r="K64" s="427"/>
      <c r="L64" s="426"/>
      <c r="M64" s="428"/>
      <c r="N64" s="428"/>
      <c r="O64" s="416"/>
    </row>
    <row r="65" spans="1:18" hidden="1">
      <c r="A65" s="611">
        <v>15</v>
      </c>
      <c r="B65" s="615" t="s">
        <v>340</v>
      </c>
      <c r="C65" s="472" t="s">
        <v>341</v>
      </c>
      <c r="D65" s="440">
        <v>7918.8027048176291</v>
      </c>
      <c r="E65" s="441">
        <v>6.1453957119629234E-2</v>
      </c>
      <c r="F65" s="440">
        <v>128857.49064787653</v>
      </c>
      <c r="G65" s="442">
        <v>140429.99539916034</v>
      </c>
      <c r="H65" s="443">
        <v>13158.290568901324</v>
      </c>
      <c r="I65" s="440">
        <v>5316.309701479965</v>
      </c>
      <c r="J65" s="444">
        <v>505.66370686127334</v>
      </c>
      <c r="K65" s="443">
        <v>13032.88066833308</v>
      </c>
      <c r="L65" s="440">
        <v>26974.608065211265</v>
      </c>
      <c r="M65" s="442">
        <v>1429.2743545091862</v>
      </c>
      <c r="N65" s="444">
        <v>25545.333710702078</v>
      </c>
      <c r="O65" s="445">
        <v>1402.5447500962289</v>
      </c>
      <c r="Q65" s="409" t="str">
        <f t="shared" ref="Q65" si="27">IF(AND(ISBLANK(B65), ISBLANK(C65)), "X", "")</f>
        <v/>
      </c>
    </row>
    <row r="66" spans="1:18" hidden="1">
      <c r="A66" s="611"/>
      <c r="B66" s="616"/>
      <c r="C66" s="446" t="s">
        <v>307</v>
      </c>
      <c r="D66" s="447">
        <f>IF(D65="","",D65-D62)</f>
        <v>-51.863039092740109</v>
      </c>
      <c r="E66" s="448">
        <f t="shared" ref="E66:O66" si="28">IF(E65="","",E65-E62)</f>
        <v>3.2610114390298206E-5</v>
      </c>
      <c r="F66" s="447">
        <f t="shared" si="28"/>
        <v>-912.79497009453189</v>
      </c>
      <c r="G66" s="449">
        <f t="shared" si="28"/>
        <v>0</v>
      </c>
      <c r="H66" s="450">
        <f t="shared" si="28"/>
        <v>-912.79497009454099</v>
      </c>
      <c r="I66" s="447">
        <f t="shared" si="28"/>
        <v>0</v>
      </c>
      <c r="J66" s="449">
        <f t="shared" si="28"/>
        <v>-12.175745405971838</v>
      </c>
      <c r="K66" s="451">
        <f t="shared" si="28"/>
        <v>0</v>
      </c>
      <c r="L66" s="447">
        <f t="shared" si="28"/>
        <v>-64.03878449871263</v>
      </c>
      <c r="M66" s="449">
        <f t="shared" si="28"/>
        <v>0</v>
      </c>
      <c r="N66" s="449">
        <f t="shared" si="28"/>
        <v>-64.03878449871263</v>
      </c>
      <c r="O66" s="452">
        <f t="shared" si="28"/>
        <v>-26.544164599902842</v>
      </c>
    </row>
    <row r="67" spans="1:18" hidden="1">
      <c r="A67" s="611"/>
      <c r="B67" s="438"/>
      <c r="C67" s="416"/>
      <c r="D67" s="426"/>
      <c r="E67" s="427"/>
      <c r="F67" s="426"/>
      <c r="G67" s="428"/>
      <c r="H67" s="427"/>
      <c r="I67" s="426"/>
      <c r="J67" s="428"/>
      <c r="K67" s="427"/>
      <c r="L67" s="426"/>
      <c r="M67" s="428"/>
      <c r="N67" s="428"/>
      <c r="O67" s="416"/>
    </row>
    <row r="68" spans="1:18" ht="25.5" hidden="1">
      <c r="A68" s="611">
        <v>16</v>
      </c>
      <c r="B68" s="615" t="s">
        <v>340</v>
      </c>
      <c r="C68" s="473" t="s">
        <v>342</v>
      </c>
      <c r="D68" s="440">
        <v>7726.9332665959719</v>
      </c>
      <c r="E68" s="441">
        <v>5.996495219444431E-2</v>
      </c>
      <c r="F68" s="440">
        <v>128857.49064787653</v>
      </c>
      <c r="G68" s="442">
        <v>140429.99539916034</v>
      </c>
      <c r="H68" s="443">
        <v>13158.290568901324</v>
      </c>
      <c r="I68" s="440">
        <v>5316.309701479965</v>
      </c>
      <c r="J68" s="444">
        <v>485.33920540294025</v>
      </c>
      <c r="K68" s="443">
        <v>13032.88066833308</v>
      </c>
      <c r="L68" s="440">
        <v>26762.414125531272</v>
      </c>
      <c r="M68" s="442">
        <v>1429.2743545091862</v>
      </c>
      <c r="N68" s="444">
        <v>25333.139771022084</v>
      </c>
      <c r="O68" s="445">
        <v>1361.0696175468456</v>
      </c>
      <c r="Q68" s="409" t="str">
        <f t="shared" ref="Q68" si="29">IF(AND(ISBLANK(B68), ISBLANK(C68)), "X", "")</f>
        <v/>
      </c>
    </row>
    <row r="69" spans="1:18" hidden="1">
      <c r="A69" s="611"/>
      <c r="B69" s="616"/>
      <c r="C69" s="446" t="s">
        <v>307</v>
      </c>
      <c r="D69" s="447">
        <f>IF(D68="","",D68-D65)</f>
        <v>-191.86943822165722</v>
      </c>
      <c r="E69" s="448">
        <f t="shared" ref="E69:O69" si="30">IF(E68="","",E68-E65)</f>
        <v>-1.4890049251849238E-3</v>
      </c>
      <c r="F69" s="447">
        <f t="shared" si="30"/>
        <v>0</v>
      </c>
      <c r="G69" s="449">
        <f t="shared" si="30"/>
        <v>0</v>
      </c>
      <c r="H69" s="450">
        <f t="shared" si="30"/>
        <v>0</v>
      </c>
      <c r="I69" s="447">
        <f t="shared" si="30"/>
        <v>0</v>
      </c>
      <c r="J69" s="449">
        <f t="shared" si="30"/>
        <v>-20.324501458333089</v>
      </c>
      <c r="K69" s="451">
        <f t="shared" si="30"/>
        <v>0</v>
      </c>
      <c r="L69" s="447">
        <f t="shared" si="30"/>
        <v>-212.19393967999349</v>
      </c>
      <c r="M69" s="449">
        <f t="shared" si="30"/>
        <v>0</v>
      </c>
      <c r="N69" s="449">
        <f t="shared" si="30"/>
        <v>-212.19393967999349</v>
      </c>
      <c r="O69" s="452">
        <f t="shared" si="30"/>
        <v>-41.475132549383261</v>
      </c>
    </row>
    <row r="70" spans="1:18" hidden="1">
      <c r="A70" s="611"/>
      <c r="B70" s="438"/>
      <c r="C70" s="416"/>
      <c r="D70" s="426"/>
      <c r="E70" s="427"/>
      <c r="F70" s="426"/>
      <c r="G70" s="428"/>
      <c r="H70" s="427"/>
      <c r="I70" s="426"/>
      <c r="J70" s="428"/>
      <c r="K70" s="427"/>
      <c r="L70" s="426"/>
      <c r="M70" s="428"/>
      <c r="N70" s="428"/>
      <c r="O70" s="416"/>
    </row>
    <row r="71" spans="1:18" ht="38.25" hidden="1">
      <c r="A71" s="611">
        <v>17</v>
      </c>
      <c r="B71" s="615" t="s">
        <v>340</v>
      </c>
      <c r="C71" s="474" t="s">
        <v>343</v>
      </c>
      <c r="D71" s="440">
        <v>7653.6424268936516</v>
      </c>
      <c r="E71" s="441">
        <v>5.9926345153493168E-2</v>
      </c>
      <c r="F71" s="440">
        <v>127717.49065106324</v>
      </c>
      <c r="G71" s="442">
        <v>140429.99539916034</v>
      </c>
      <c r="H71" s="443">
        <v>13158.290568901324</v>
      </c>
      <c r="I71" s="440">
        <v>5286.3096919517411</v>
      </c>
      <c r="J71" s="444">
        <v>490.02645209760175</v>
      </c>
      <c r="K71" s="443">
        <v>13032.88066833308</v>
      </c>
      <c r="L71" s="440">
        <v>26663.810522995391</v>
      </c>
      <c r="M71" s="442">
        <v>1429.2743545091862</v>
      </c>
      <c r="N71" s="444">
        <v>25234.536168486204</v>
      </c>
      <c r="O71" s="445">
        <v>1333.6223118526661</v>
      </c>
      <c r="Q71" s="409" t="str">
        <f t="shared" ref="Q71" si="31">IF(AND(ISBLANK(B71), ISBLANK(C71)), "X", "")</f>
        <v/>
      </c>
    </row>
    <row r="72" spans="1:18" hidden="1">
      <c r="A72" s="611"/>
      <c r="B72" s="616"/>
      <c r="C72" s="463" t="s">
        <v>307</v>
      </c>
      <c r="D72" s="447">
        <f>IF(D71="","",D71-D68)</f>
        <v>-73.290839702320227</v>
      </c>
      <c r="E72" s="448">
        <f t="shared" ref="E72:O72" si="32">IF(E71="","",E71-E68)</f>
        <v>-3.8607040951141314E-5</v>
      </c>
      <c r="F72" s="447">
        <f t="shared" si="32"/>
        <v>-1139.9999968132906</v>
      </c>
      <c r="G72" s="449">
        <f t="shared" si="32"/>
        <v>0</v>
      </c>
      <c r="H72" s="450">
        <f t="shared" si="32"/>
        <v>0</v>
      </c>
      <c r="I72" s="447">
        <f t="shared" si="32"/>
        <v>-30.000009528223927</v>
      </c>
      <c r="J72" s="449">
        <f t="shared" si="32"/>
        <v>4.6872466946614963</v>
      </c>
      <c r="K72" s="451">
        <f t="shared" si="32"/>
        <v>0</v>
      </c>
      <c r="L72" s="447">
        <f t="shared" si="32"/>
        <v>-98.603602535880782</v>
      </c>
      <c r="M72" s="449">
        <f t="shared" si="32"/>
        <v>0</v>
      </c>
      <c r="N72" s="449">
        <f t="shared" si="32"/>
        <v>-98.603602535880782</v>
      </c>
      <c r="O72" s="452">
        <f t="shared" si="32"/>
        <v>-27.447305694179477</v>
      </c>
    </row>
    <row r="73" spans="1:18" hidden="1">
      <c r="A73" s="611"/>
      <c r="B73" s="438"/>
      <c r="C73" s="416"/>
      <c r="D73" s="426"/>
      <c r="E73" s="427"/>
      <c r="F73" s="426"/>
      <c r="G73" s="428"/>
      <c r="H73" s="427"/>
      <c r="I73" s="426"/>
      <c r="J73" s="428"/>
      <c r="K73" s="427"/>
      <c r="L73" s="426"/>
      <c r="M73" s="428"/>
      <c r="N73" s="428"/>
      <c r="O73" s="416"/>
    </row>
    <row r="74" spans="1:18" ht="38.25" hidden="1">
      <c r="A74" s="611">
        <v>18</v>
      </c>
      <c r="B74" s="615" t="s">
        <v>340</v>
      </c>
      <c r="C74" s="469" t="s">
        <v>344</v>
      </c>
      <c r="D74" s="440">
        <v>7466.1797664794585</v>
      </c>
      <c r="E74" s="441">
        <v>5.9962095545117819E-2</v>
      </c>
      <c r="F74" s="440">
        <v>124514.99065541518</v>
      </c>
      <c r="G74" s="442">
        <v>140429.99539916034</v>
      </c>
      <c r="H74" s="443">
        <v>13158.290568901324</v>
      </c>
      <c r="I74" s="440">
        <v>5211.3096815439585</v>
      </c>
      <c r="J74" s="444">
        <v>504.27652095515157</v>
      </c>
      <c r="K74" s="443">
        <v>13032.88066833308</v>
      </c>
      <c r="L74" s="440">
        <v>26415.597921030967</v>
      </c>
      <c r="M74" s="442">
        <v>1429.2743545091862</v>
      </c>
      <c r="N74" s="444">
        <v>24986.32356652178</v>
      </c>
      <c r="O74" s="445">
        <v>1373.8014076380787</v>
      </c>
      <c r="Q74" s="409" t="str">
        <f t="shared" ref="Q74" si="33">IF(AND(ISBLANK(B74), ISBLANK(C74)), "X", "")</f>
        <v/>
      </c>
    </row>
    <row r="75" spans="1:18" hidden="1">
      <c r="A75" s="611"/>
      <c r="B75" s="616"/>
      <c r="C75" s="446" t="s">
        <v>307</v>
      </c>
      <c r="D75" s="447">
        <f>IF(D74="","",D74-D71)</f>
        <v>-187.46266041419312</v>
      </c>
      <c r="E75" s="448">
        <f t="shared" ref="E75:O75" si="34">IF(E74="","",E74-E71)</f>
        <v>3.5750391624650435E-5</v>
      </c>
      <c r="F75" s="447">
        <f t="shared" si="34"/>
        <v>-3202.4999956480606</v>
      </c>
      <c r="G75" s="449">
        <f t="shared" si="34"/>
        <v>0</v>
      </c>
      <c r="H75" s="450">
        <f t="shared" si="34"/>
        <v>0</v>
      </c>
      <c r="I75" s="447">
        <f t="shared" si="34"/>
        <v>-75.000010407782611</v>
      </c>
      <c r="J75" s="449">
        <f t="shared" si="34"/>
        <v>14.25006885754982</v>
      </c>
      <c r="K75" s="451">
        <f t="shared" si="34"/>
        <v>0</v>
      </c>
      <c r="L75" s="447">
        <f t="shared" si="34"/>
        <v>-248.21260196442381</v>
      </c>
      <c r="M75" s="449">
        <f t="shared" si="34"/>
        <v>0</v>
      </c>
      <c r="N75" s="449">
        <f t="shared" si="34"/>
        <v>-248.21260196442381</v>
      </c>
      <c r="O75" s="452">
        <f t="shared" si="34"/>
        <v>40.179095785412528</v>
      </c>
    </row>
    <row r="76" spans="1:18" hidden="1">
      <c r="A76" s="611"/>
      <c r="B76" s="438"/>
      <c r="C76" s="416"/>
      <c r="D76" s="426"/>
      <c r="E76" s="427"/>
      <c r="F76" s="426"/>
      <c r="G76" s="428"/>
      <c r="H76" s="427"/>
      <c r="I76" s="426"/>
      <c r="J76" s="428"/>
      <c r="K76" s="427"/>
      <c r="L76" s="426"/>
      <c r="M76" s="428"/>
      <c r="N76" s="428"/>
      <c r="O76" s="416"/>
      <c r="R76" s="409" t="s">
        <v>308</v>
      </c>
    </row>
    <row r="77" spans="1:18" ht="25.5" hidden="1">
      <c r="A77" s="611">
        <v>19</v>
      </c>
      <c r="B77" s="615" t="s">
        <v>340</v>
      </c>
      <c r="C77" s="475" t="s">
        <v>345</v>
      </c>
      <c r="D77" s="440">
        <v>7429.331978646991</v>
      </c>
      <c r="E77" s="441">
        <v>5.9964205593985499E-2</v>
      </c>
      <c r="F77" s="440">
        <v>123896.11277352041</v>
      </c>
      <c r="G77" s="442">
        <v>136461.80028822346</v>
      </c>
      <c r="H77" s="443">
        <v>12786.470687006538</v>
      </c>
      <c r="I77" s="440">
        <v>5211.3096815439585</v>
      </c>
      <c r="J77" s="444">
        <v>496.1205704473133</v>
      </c>
      <c r="K77" s="443">
        <v>13032.88066833308</v>
      </c>
      <c r="L77" s="440">
        <v>26370.594182690664</v>
      </c>
      <c r="M77" s="442">
        <v>1395.4404881099958</v>
      </c>
      <c r="N77" s="444">
        <v>24975.153694580669</v>
      </c>
      <c r="O77" s="445">
        <v>1371.4977666711936</v>
      </c>
      <c r="Q77" s="409" t="str">
        <f t="shared" ref="Q77" si="35">IF(AND(ISBLANK(B77), ISBLANK(C77)), "X", "")</f>
        <v/>
      </c>
    </row>
    <row r="78" spans="1:18" hidden="1">
      <c r="A78" s="611"/>
      <c r="B78" s="616"/>
      <c r="C78" s="463" t="s">
        <v>307</v>
      </c>
      <c r="D78" s="447">
        <f>IF(D77="","",D77-D74)</f>
        <v>-36.847787832467475</v>
      </c>
      <c r="E78" s="448">
        <f t="shared" ref="E78:O78" si="36">IF(E77="","",E77-E74)</f>
        <v>2.1100488676803475E-6</v>
      </c>
      <c r="F78" s="447">
        <f t="shared" si="36"/>
        <v>-618.87788189477578</v>
      </c>
      <c r="G78" s="449">
        <f t="shared" si="36"/>
        <v>-3968.195110936882</v>
      </c>
      <c r="H78" s="450">
        <f t="shared" si="36"/>
        <v>-371.81988189478579</v>
      </c>
      <c r="I78" s="447">
        <f t="shared" si="36"/>
        <v>0</v>
      </c>
      <c r="J78" s="449">
        <f t="shared" si="36"/>
        <v>-8.1559505078382699</v>
      </c>
      <c r="K78" s="451">
        <f t="shared" si="36"/>
        <v>0</v>
      </c>
      <c r="L78" s="447">
        <f t="shared" si="36"/>
        <v>-45.003738340303244</v>
      </c>
      <c r="M78" s="449">
        <f t="shared" si="36"/>
        <v>-33.833866399190356</v>
      </c>
      <c r="N78" s="449">
        <f t="shared" si="36"/>
        <v>-11.169871941110614</v>
      </c>
      <c r="O78" s="452">
        <f t="shared" si="36"/>
        <v>-2.3036409668850411</v>
      </c>
    </row>
    <row r="79" spans="1:18" hidden="1">
      <c r="A79" s="611"/>
      <c r="B79" s="438"/>
      <c r="C79" s="416"/>
      <c r="D79" s="426"/>
      <c r="E79" s="427"/>
      <c r="F79" s="426"/>
      <c r="G79" s="428"/>
      <c r="H79" s="427"/>
      <c r="I79" s="426"/>
      <c r="J79" s="428"/>
      <c r="K79" s="427"/>
      <c r="L79" s="426"/>
      <c r="M79" s="428"/>
      <c r="N79" s="428"/>
      <c r="O79" s="416"/>
    </row>
    <row r="80" spans="1:18">
      <c r="A80" s="611">
        <v>1</v>
      </c>
      <c r="B80" s="615"/>
      <c r="C80" s="432" t="s">
        <v>353</v>
      </c>
      <c r="D80" s="476">
        <v>7429.331978646991</v>
      </c>
      <c r="E80" s="477">
        <v>5.9964205593985499E-2</v>
      </c>
      <c r="F80" s="476">
        <v>123896.11277352041</v>
      </c>
      <c r="G80" s="478">
        <v>136461.80028822346</v>
      </c>
      <c r="H80" s="479">
        <v>12786.470687006538</v>
      </c>
      <c r="I80" s="476">
        <v>5211.3096815439585</v>
      </c>
      <c r="J80" s="480">
        <v>496.1205704473133</v>
      </c>
      <c r="K80" s="479">
        <v>13032.88066833308</v>
      </c>
      <c r="L80" s="476">
        <v>26370.594182690664</v>
      </c>
      <c r="M80" s="478">
        <v>1395.4404881099958</v>
      </c>
      <c r="N80" s="480">
        <v>24975.153694580669</v>
      </c>
      <c r="O80" s="481">
        <v>1371.4977666711936</v>
      </c>
      <c r="Q80" s="409" t="str">
        <f t="shared" ref="Q80" si="37">IF(AND(ISBLANK(B80), ISBLANK(C80)), "X", "")</f>
        <v/>
      </c>
    </row>
    <row r="81" spans="1:17">
      <c r="A81" s="611"/>
      <c r="B81" s="616"/>
      <c r="C81" s="446"/>
      <c r="D81" s="447"/>
      <c r="E81" s="448"/>
      <c r="F81" s="447"/>
      <c r="G81" s="449"/>
      <c r="H81" s="450"/>
      <c r="I81" s="447"/>
      <c r="J81" s="449"/>
      <c r="K81" s="451"/>
      <c r="L81" s="447"/>
      <c r="M81" s="449"/>
      <c r="N81" s="449"/>
      <c r="O81" s="452"/>
    </row>
    <row r="82" spans="1:17" ht="6" customHeight="1">
      <c r="A82" s="611"/>
      <c r="B82" s="438"/>
      <c r="C82" s="416"/>
      <c r="D82" s="426"/>
      <c r="E82" s="427"/>
      <c r="F82" s="426"/>
      <c r="G82" s="428"/>
      <c r="H82" s="427"/>
      <c r="I82" s="426"/>
      <c r="J82" s="428"/>
      <c r="K82" s="427"/>
      <c r="L82" s="426"/>
      <c r="M82" s="428"/>
      <c r="N82" s="428"/>
      <c r="O82" s="416"/>
    </row>
    <row r="83" spans="1:17">
      <c r="A83" s="611">
        <v>2</v>
      </c>
      <c r="B83" s="615" t="s">
        <v>346</v>
      </c>
      <c r="C83" s="439" t="s">
        <v>347</v>
      </c>
      <c r="D83" s="440">
        <v>6850.4553287390318</v>
      </c>
      <c r="E83" s="441">
        <v>5.5291931081498304E-2</v>
      </c>
      <c r="F83" s="440">
        <v>123896.11277352041</v>
      </c>
      <c r="G83" s="442">
        <v>136461.80028822346</v>
      </c>
      <c r="H83" s="443">
        <v>12786.470687006538</v>
      </c>
      <c r="I83" s="440">
        <v>5211.3096815439585</v>
      </c>
      <c r="J83" s="444">
        <v>423.33470816442002</v>
      </c>
      <c r="K83" s="443">
        <v>13032.88066833308</v>
      </c>
      <c r="L83" s="440">
        <v>25718.931670499809</v>
      </c>
      <c r="M83" s="442">
        <v>1395.4404881099958</v>
      </c>
      <c r="N83" s="444">
        <v>24323.491182389815</v>
      </c>
      <c r="O83" s="445">
        <v>719.83525448033845</v>
      </c>
      <c r="Q83" s="409" t="str">
        <f t="shared" ref="Q83" si="38">IF(AND(ISBLANK(B83), ISBLANK(C83)), "X", "")</f>
        <v/>
      </c>
    </row>
    <row r="84" spans="1:17">
      <c r="A84" s="611"/>
      <c r="B84" s="616"/>
      <c r="C84" s="446" t="s">
        <v>307</v>
      </c>
      <c r="D84" s="447">
        <f>IF(D83="","",D83-D80)</f>
        <v>-578.87664990795929</v>
      </c>
      <c r="E84" s="448">
        <f t="shared" ref="E84:O84" si="39">IF(E83="","",E83-E80)</f>
        <v>-4.6722745124871956E-3</v>
      </c>
      <c r="F84" s="447">
        <f t="shared" si="39"/>
        <v>0</v>
      </c>
      <c r="G84" s="449">
        <f t="shared" si="39"/>
        <v>0</v>
      </c>
      <c r="H84" s="450">
        <f t="shared" si="39"/>
        <v>0</v>
      </c>
      <c r="I84" s="447">
        <f t="shared" si="39"/>
        <v>0</v>
      </c>
      <c r="J84" s="449">
        <f t="shared" si="39"/>
        <v>-72.785862282893277</v>
      </c>
      <c r="K84" s="451">
        <f t="shared" si="39"/>
        <v>0</v>
      </c>
      <c r="L84" s="447">
        <f t="shared" si="39"/>
        <v>-651.66251219085461</v>
      </c>
      <c r="M84" s="449">
        <f t="shared" si="39"/>
        <v>0</v>
      </c>
      <c r="N84" s="449">
        <f t="shared" si="39"/>
        <v>-651.66251219085461</v>
      </c>
      <c r="O84" s="452">
        <f t="shared" si="39"/>
        <v>-651.66251219085518</v>
      </c>
    </row>
    <row r="85" spans="1:17">
      <c r="A85" s="611"/>
      <c r="B85" s="438"/>
      <c r="C85" s="489" t="s">
        <v>349</v>
      </c>
      <c r="D85" s="483">
        <f>IF(D83="","",D83-D$80)</f>
        <v>-578.87664990795929</v>
      </c>
      <c r="E85" s="484">
        <f t="shared" ref="E85:O85" si="40">IF(E83="","",E83-E$80)</f>
        <v>-4.6722745124871956E-3</v>
      </c>
      <c r="F85" s="483">
        <f t="shared" si="40"/>
        <v>0</v>
      </c>
      <c r="G85" s="485">
        <f t="shared" si="40"/>
        <v>0</v>
      </c>
      <c r="H85" s="486">
        <f t="shared" si="40"/>
        <v>0</v>
      </c>
      <c r="I85" s="483">
        <f t="shared" si="40"/>
        <v>0</v>
      </c>
      <c r="J85" s="485">
        <f t="shared" si="40"/>
        <v>-72.785862282893277</v>
      </c>
      <c r="K85" s="487">
        <f t="shared" si="40"/>
        <v>0</v>
      </c>
      <c r="L85" s="483">
        <f t="shared" si="40"/>
        <v>-651.66251219085461</v>
      </c>
      <c r="M85" s="485">
        <f t="shared" si="40"/>
        <v>0</v>
      </c>
      <c r="N85" s="485">
        <f t="shared" si="40"/>
        <v>-651.66251219085461</v>
      </c>
      <c r="O85" s="488">
        <f t="shared" si="40"/>
        <v>-651.66251219085518</v>
      </c>
    </row>
    <row r="86" spans="1:17" ht="6" customHeight="1">
      <c r="A86" s="482"/>
      <c r="B86" s="438"/>
      <c r="C86" s="489"/>
      <c r="D86" s="483"/>
      <c r="E86" s="484"/>
      <c r="F86" s="483"/>
      <c r="G86" s="485"/>
      <c r="H86" s="486"/>
      <c r="I86" s="483"/>
      <c r="J86" s="485"/>
      <c r="K86" s="487"/>
      <c r="L86" s="483"/>
      <c r="M86" s="485"/>
      <c r="N86" s="485"/>
      <c r="O86" s="488"/>
    </row>
    <row r="87" spans="1:17" ht="25.5">
      <c r="A87" s="611">
        <v>3</v>
      </c>
      <c r="B87" s="615" t="s">
        <v>346</v>
      </c>
      <c r="C87" s="439" t="s">
        <v>348</v>
      </c>
      <c r="D87" s="440">
        <v>6811.4425520102159</v>
      </c>
      <c r="E87" s="441">
        <v>5.5291931081498304E-2</v>
      </c>
      <c r="F87" s="440">
        <v>123190.53465451217</v>
      </c>
      <c r="G87" s="442">
        <v>128931.61758802891</v>
      </c>
      <c r="H87" s="443">
        <v>12080.892567998309</v>
      </c>
      <c r="I87" s="440">
        <v>5211.3096815439585</v>
      </c>
      <c r="J87" s="444">
        <v>414.4664748325203</v>
      </c>
      <c r="K87" s="443">
        <v>13032.88066833308</v>
      </c>
      <c r="L87" s="440">
        <v>25671.050660439094</v>
      </c>
      <c r="M87" s="442">
        <v>1389.649886392134</v>
      </c>
      <c r="N87" s="444">
        <v>24281.400774046961</v>
      </c>
      <c r="O87" s="445">
        <v>1376.9213251855524</v>
      </c>
      <c r="Q87" s="409" t="str">
        <f t="shared" ref="Q87" si="41">IF(AND(ISBLANK(B87), ISBLANK(C87)), "X", "")</f>
        <v/>
      </c>
    </row>
    <row r="88" spans="1:17">
      <c r="A88" s="611"/>
      <c r="B88" s="616"/>
      <c r="C88" s="446" t="s">
        <v>307</v>
      </c>
      <c r="D88" s="447">
        <f>IF(D87="","",D87-D83)</f>
        <v>-39.012776728815879</v>
      </c>
      <c r="E88" s="448">
        <f t="shared" ref="E88:O88" si="42">IF(E87="","",E87-E83)</f>
        <v>0</v>
      </c>
      <c r="F88" s="447">
        <f t="shared" si="42"/>
        <v>-705.57811900823435</v>
      </c>
      <c r="G88" s="449">
        <f t="shared" si="42"/>
        <v>-7530.1827001945494</v>
      </c>
      <c r="H88" s="450">
        <f t="shared" si="42"/>
        <v>-705.5781190082289</v>
      </c>
      <c r="I88" s="447">
        <f t="shared" si="42"/>
        <v>0</v>
      </c>
      <c r="J88" s="449">
        <f t="shared" si="42"/>
        <v>-8.8682333318997166</v>
      </c>
      <c r="K88" s="451">
        <f t="shared" si="42"/>
        <v>0</v>
      </c>
      <c r="L88" s="447">
        <f t="shared" si="42"/>
        <v>-47.881010060715198</v>
      </c>
      <c r="M88" s="449">
        <f t="shared" si="42"/>
        <v>-5.7906017178618185</v>
      </c>
      <c r="N88" s="449">
        <f t="shared" si="42"/>
        <v>-42.090408342854062</v>
      </c>
      <c r="O88" s="452">
        <f t="shared" si="42"/>
        <v>657.08607070521396</v>
      </c>
    </row>
    <row r="89" spans="1:17">
      <c r="A89" s="611"/>
      <c r="B89" s="438"/>
      <c r="C89" s="489" t="s">
        <v>349</v>
      </c>
      <c r="D89" s="483">
        <f>IF(D87="","",D87-D$80)</f>
        <v>-617.88942663677517</v>
      </c>
      <c r="E89" s="484">
        <f t="shared" ref="E89:O89" si="43">IF(E87="","",E87-E$80)</f>
        <v>-4.6722745124871956E-3</v>
      </c>
      <c r="F89" s="483">
        <f t="shared" si="43"/>
        <v>-705.57811900823435</v>
      </c>
      <c r="G89" s="485">
        <f t="shared" si="43"/>
        <v>-7530.1827001945494</v>
      </c>
      <c r="H89" s="486">
        <f t="shared" si="43"/>
        <v>-705.5781190082289</v>
      </c>
      <c r="I89" s="483">
        <f t="shared" si="43"/>
        <v>0</v>
      </c>
      <c r="J89" s="485">
        <f t="shared" si="43"/>
        <v>-81.654095614792993</v>
      </c>
      <c r="K89" s="487">
        <f t="shared" si="43"/>
        <v>0</v>
      </c>
      <c r="L89" s="483">
        <f t="shared" si="43"/>
        <v>-699.54352225156981</v>
      </c>
      <c r="M89" s="485">
        <f t="shared" si="43"/>
        <v>-5.7906017178618185</v>
      </c>
      <c r="N89" s="485">
        <f t="shared" si="43"/>
        <v>-693.75292053370868</v>
      </c>
      <c r="O89" s="488">
        <f t="shared" si="43"/>
        <v>5.4235585143587741</v>
      </c>
    </row>
    <row r="90" spans="1:17" ht="6" customHeight="1">
      <c r="A90" s="482"/>
      <c r="B90" s="438"/>
      <c r="C90" s="489"/>
      <c r="D90" s="483"/>
      <c r="E90" s="484"/>
      <c r="F90" s="483"/>
      <c r="G90" s="485"/>
      <c r="H90" s="486"/>
      <c r="I90" s="483"/>
      <c r="J90" s="485"/>
      <c r="K90" s="487"/>
      <c r="L90" s="483"/>
      <c r="M90" s="485"/>
      <c r="N90" s="485"/>
      <c r="O90" s="488"/>
    </row>
    <row r="91" spans="1:17">
      <c r="A91" s="611">
        <v>4</v>
      </c>
      <c r="B91" s="615" t="s">
        <v>346</v>
      </c>
      <c r="C91" s="439" t="s">
        <v>350</v>
      </c>
      <c r="D91" s="440">
        <v>6796.1856936344375</v>
      </c>
      <c r="E91" s="441">
        <v>5.5291931081498304E-2</v>
      </c>
      <c r="F91" s="440">
        <v>122914.60183615411</v>
      </c>
      <c r="G91" s="442">
        <v>125986.7636034177</v>
      </c>
      <c r="H91" s="443">
        <v>11804.959749640238</v>
      </c>
      <c r="I91" s="440">
        <v>5211.3096815439585</v>
      </c>
      <c r="J91" s="444">
        <v>410.99891246979502</v>
      </c>
      <c r="K91" s="443">
        <v>13032.88066833308</v>
      </c>
      <c r="L91" s="440">
        <v>25652.326239700593</v>
      </c>
      <c r="M91" s="442">
        <v>1389.649886392134</v>
      </c>
      <c r="N91" s="444">
        <v>24262.67635330846</v>
      </c>
      <c r="O91" s="445">
        <v>1358.1969044470486</v>
      </c>
      <c r="Q91" s="409" t="str">
        <f t="shared" ref="Q91" si="44">IF(AND(ISBLANK(B91), ISBLANK(C91)), "X", "")</f>
        <v/>
      </c>
    </row>
    <row r="92" spans="1:17">
      <c r="A92" s="611"/>
      <c r="B92" s="616"/>
      <c r="C92" s="446" t="s">
        <v>307</v>
      </c>
      <c r="D92" s="447">
        <f>IF(D91="","",D91-D87)</f>
        <v>-15.256858375778393</v>
      </c>
      <c r="E92" s="448">
        <f t="shared" ref="E92:O92" si="45">IF(E91="","",E91-E87)</f>
        <v>0</v>
      </c>
      <c r="F92" s="447">
        <f t="shared" si="45"/>
        <v>-275.93281835806556</v>
      </c>
      <c r="G92" s="449">
        <f t="shared" si="45"/>
        <v>-2944.8539846112108</v>
      </c>
      <c r="H92" s="450">
        <f t="shared" si="45"/>
        <v>-275.93281835807102</v>
      </c>
      <c r="I92" s="447">
        <f t="shared" si="45"/>
        <v>0</v>
      </c>
      <c r="J92" s="449">
        <f t="shared" si="45"/>
        <v>-3.4675623627252889</v>
      </c>
      <c r="K92" s="451">
        <f t="shared" si="45"/>
        <v>0</v>
      </c>
      <c r="L92" s="447">
        <f t="shared" si="45"/>
        <v>-18.724420738501067</v>
      </c>
      <c r="M92" s="449">
        <f t="shared" si="45"/>
        <v>0</v>
      </c>
      <c r="N92" s="449">
        <f t="shared" si="45"/>
        <v>-18.724420738501067</v>
      </c>
      <c r="O92" s="452">
        <f t="shared" si="45"/>
        <v>-18.724420738503795</v>
      </c>
    </row>
    <row r="93" spans="1:17">
      <c r="A93" s="611"/>
      <c r="B93" s="438"/>
      <c r="C93" s="489" t="s">
        <v>349</v>
      </c>
      <c r="D93" s="483">
        <f>IF(D91="","",D91-D$80)</f>
        <v>-633.14628501255356</v>
      </c>
      <c r="E93" s="484">
        <f t="shared" ref="E93:O93" si="46">IF(E91="","",E91-E$80)</f>
        <v>-4.6722745124871956E-3</v>
      </c>
      <c r="F93" s="483">
        <f t="shared" si="46"/>
        <v>-981.51093736629991</v>
      </c>
      <c r="G93" s="485">
        <f t="shared" si="46"/>
        <v>-10475.03668480576</v>
      </c>
      <c r="H93" s="486">
        <f t="shared" si="46"/>
        <v>-981.51093736629991</v>
      </c>
      <c r="I93" s="483">
        <f t="shared" si="46"/>
        <v>0</v>
      </c>
      <c r="J93" s="485">
        <f t="shared" si="46"/>
        <v>-85.121657977518282</v>
      </c>
      <c r="K93" s="487">
        <f t="shared" si="46"/>
        <v>0</v>
      </c>
      <c r="L93" s="483">
        <f t="shared" si="46"/>
        <v>-718.26794299007088</v>
      </c>
      <c r="M93" s="485">
        <f t="shared" si="46"/>
        <v>-5.7906017178618185</v>
      </c>
      <c r="N93" s="485">
        <f t="shared" si="46"/>
        <v>-712.47734127220974</v>
      </c>
      <c r="O93" s="488">
        <f t="shared" si="46"/>
        <v>-13.300862224145021</v>
      </c>
    </row>
    <row r="94" spans="1:17" ht="6" customHeight="1">
      <c r="A94" s="482"/>
      <c r="B94" s="438"/>
      <c r="C94" s="489"/>
      <c r="D94" s="483"/>
      <c r="E94" s="484"/>
      <c r="F94" s="483"/>
      <c r="G94" s="485"/>
      <c r="H94" s="486"/>
      <c r="I94" s="483"/>
      <c r="J94" s="485"/>
      <c r="K94" s="487"/>
      <c r="L94" s="483"/>
      <c r="M94" s="485"/>
      <c r="N94" s="485"/>
      <c r="O94" s="488"/>
    </row>
    <row r="95" spans="1:17">
      <c r="A95" s="611">
        <v>5</v>
      </c>
      <c r="B95" s="615" t="s">
        <v>346</v>
      </c>
      <c r="C95" s="439" t="s">
        <v>351</v>
      </c>
      <c r="D95" s="440">
        <f>IF($C95="","",'7. Cost_of_Capital'!$P$58)</f>
        <v>6394.9532682219033</v>
      </c>
      <c r="E95" s="441">
        <f>IF($C95="","",'7. Cost_of_Capital'!$L$58)</f>
        <v>5.5291931081498304E-2</v>
      </c>
      <c r="F95" s="440">
        <f>IF($C95="","",'4. Rate_Base'!$W$18)</f>
        <v>115657.98378059854</v>
      </c>
      <c r="G95" s="442">
        <f>IF($C95="","",'4. Rate_Base'!$W$26)</f>
        <v>125986.7636034177</v>
      </c>
      <c r="H95" s="443">
        <f>IF($C95="","",'4. Rate_Base'!$W$30)</f>
        <v>11804.959749640238</v>
      </c>
      <c r="I95" s="440">
        <f>IF($C95="","",'9. Rev_Reqt'!$N$16)</f>
        <v>5034.5457926550698</v>
      </c>
      <c r="J95" s="444">
        <f>IF($C95="","",'9. Rev_Reqt'!$N$19)</f>
        <v>466.84926741086099</v>
      </c>
      <c r="K95" s="443">
        <f>IF($C95="","",'9. Rev_Reqt'!$N$15)</f>
        <v>13032.88066833308</v>
      </c>
      <c r="L95" s="440">
        <f>IF($C95="","",'9. Rev_Reqt'!$N$25)</f>
        <v>25130.180280340232</v>
      </c>
      <c r="M95" s="442">
        <f>IF($C95="","",'9. Rev_Reqt'!$N$32)</f>
        <v>1389.649886392134</v>
      </c>
      <c r="N95" s="444">
        <f>IF($C95="","",'9. Rev_Reqt'!$N$28)</f>
        <v>23740.530393948098</v>
      </c>
      <c r="O95" s="445">
        <f>IF($C95="","",'8. Rev_Def_Suff'!$N$52)</f>
        <v>836.05094508669151</v>
      </c>
      <c r="Q95" s="409" t="str">
        <f t="shared" ref="Q95" si="47">IF(AND(ISBLANK(B95), ISBLANK(C95)), "X", "")</f>
        <v/>
      </c>
    </row>
    <row r="96" spans="1:17">
      <c r="A96" s="611"/>
      <c r="B96" s="616"/>
      <c r="C96" s="446" t="s">
        <v>307</v>
      </c>
      <c r="D96" s="447">
        <f>IF(D95="","",D95-D91)</f>
        <v>-401.23242541253421</v>
      </c>
      <c r="E96" s="448">
        <f t="shared" ref="E96:O96" si="48">IF(E95="","",E95-E91)</f>
        <v>0</v>
      </c>
      <c r="F96" s="447">
        <f t="shared" si="48"/>
        <v>-7256.618055555562</v>
      </c>
      <c r="G96" s="449">
        <f t="shared" si="48"/>
        <v>0</v>
      </c>
      <c r="H96" s="450">
        <f t="shared" si="48"/>
        <v>0</v>
      </c>
      <c r="I96" s="447">
        <f t="shared" si="48"/>
        <v>-176.76388888888869</v>
      </c>
      <c r="J96" s="449">
        <f t="shared" si="48"/>
        <v>55.850354941065973</v>
      </c>
      <c r="K96" s="451">
        <f t="shared" si="48"/>
        <v>0</v>
      </c>
      <c r="L96" s="447">
        <f t="shared" si="48"/>
        <v>-522.1459593603613</v>
      </c>
      <c r="M96" s="449">
        <f t="shared" si="48"/>
        <v>0</v>
      </c>
      <c r="N96" s="449">
        <f t="shared" si="48"/>
        <v>-522.1459593603613</v>
      </c>
      <c r="O96" s="452">
        <f t="shared" si="48"/>
        <v>-522.1459593603571</v>
      </c>
    </row>
    <row r="97" spans="1:17">
      <c r="A97" s="611"/>
      <c r="B97" s="438"/>
      <c r="C97" s="489" t="s">
        <v>349</v>
      </c>
      <c r="D97" s="483">
        <f>IF(D95="","",D95-D$80)</f>
        <v>-1034.3787104250878</v>
      </c>
      <c r="E97" s="484">
        <f t="shared" ref="E97:O97" si="49">IF(E95="","",E95-E$80)</f>
        <v>-4.6722745124871956E-3</v>
      </c>
      <c r="F97" s="483">
        <f t="shared" si="49"/>
        <v>-8238.1289929218619</v>
      </c>
      <c r="G97" s="485">
        <f t="shared" si="49"/>
        <v>-10475.03668480576</v>
      </c>
      <c r="H97" s="486">
        <f t="shared" si="49"/>
        <v>-981.51093736629991</v>
      </c>
      <c r="I97" s="483">
        <f t="shared" si="49"/>
        <v>-176.76388888888869</v>
      </c>
      <c r="J97" s="485">
        <f t="shared" si="49"/>
        <v>-29.271303036452309</v>
      </c>
      <c r="K97" s="487">
        <f t="shared" si="49"/>
        <v>0</v>
      </c>
      <c r="L97" s="483">
        <f t="shared" si="49"/>
        <v>-1240.4139023504322</v>
      </c>
      <c r="M97" s="485">
        <f t="shared" si="49"/>
        <v>-5.7906017178618185</v>
      </c>
      <c r="N97" s="485">
        <f t="shared" si="49"/>
        <v>-1234.623300632571</v>
      </c>
      <c r="O97" s="488">
        <f t="shared" si="49"/>
        <v>-535.44682158450212</v>
      </c>
    </row>
    <row r="98" spans="1:17" ht="6" customHeight="1">
      <c r="A98" s="482"/>
      <c r="B98" s="438"/>
      <c r="C98" s="489"/>
      <c r="D98" s="483"/>
      <c r="E98" s="484"/>
      <c r="F98" s="483"/>
      <c r="G98" s="485"/>
      <c r="H98" s="486"/>
      <c r="I98" s="483"/>
      <c r="J98" s="485"/>
      <c r="K98" s="487"/>
      <c r="L98" s="483"/>
      <c r="M98" s="485"/>
      <c r="N98" s="485"/>
      <c r="O98" s="488"/>
    </row>
    <row r="99" spans="1:17">
      <c r="A99" s="611">
        <v>6</v>
      </c>
      <c r="B99" s="615"/>
      <c r="C99" s="439"/>
      <c r="D99" s="440" t="str">
        <f>IF($C99="","",'7. Cost_of_Capital'!$P$58)</f>
        <v/>
      </c>
      <c r="E99" s="441" t="str">
        <f>IF($C99="","",'7. Cost_of_Capital'!$L$58)</f>
        <v/>
      </c>
      <c r="F99" s="440" t="str">
        <f>IF($C99="","",'4. Rate_Base'!$W$18)</f>
        <v/>
      </c>
      <c r="G99" s="442" t="str">
        <f>IF($C99="","",'4. Rate_Base'!$W$26)</f>
        <v/>
      </c>
      <c r="H99" s="443" t="str">
        <f>IF($C99="","",'4. Rate_Base'!$W$30)</f>
        <v/>
      </c>
      <c r="I99" s="440" t="str">
        <f>IF($C99="","",'9. Rev_Reqt'!$N$16)</f>
        <v/>
      </c>
      <c r="J99" s="444" t="str">
        <f>IF($C99="","",'9. Rev_Reqt'!$N$19)</f>
        <v/>
      </c>
      <c r="K99" s="443" t="str">
        <f>IF($C99="","",'9. Rev_Reqt'!$N$15)</f>
        <v/>
      </c>
      <c r="L99" s="440" t="str">
        <f>IF($C99="","",'9. Rev_Reqt'!$N$25)</f>
        <v/>
      </c>
      <c r="M99" s="442" t="str">
        <f>IF($C99="","",'9. Rev_Reqt'!$N$32)</f>
        <v/>
      </c>
      <c r="N99" s="444" t="str">
        <f>IF($C99="","",'9. Rev_Reqt'!$N$28)</f>
        <v/>
      </c>
      <c r="O99" s="445" t="str">
        <f>IF($C99="","",'8. Rev_Def_Suff'!$N$52)</f>
        <v/>
      </c>
      <c r="Q99" s="409" t="str">
        <f t="shared" ref="Q99" si="50">IF(AND(ISBLANK(B99), ISBLANK(C99)), "X", "")</f>
        <v>X</v>
      </c>
    </row>
    <row r="100" spans="1:17">
      <c r="A100" s="611"/>
      <c r="B100" s="616"/>
      <c r="C100" s="446" t="s">
        <v>307</v>
      </c>
      <c r="D100" s="447" t="str">
        <f>IF(D99="","",D99-D95)</f>
        <v/>
      </c>
      <c r="E100" s="448" t="str">
        <f t="shared" ref="E100:O100" si="51">IF(E99="","",E99-E95)</f>
        <v/>
      </c>
      <c r="F100" s="447" t="str">
        <f t="shared" si="51"/>
        <v/>
      </c>
      <c r="G100" s="449" t="str">
        <f t="shared" si="51"/>
        <v/>
      </c>
      <c r="H100" s="450" t="str">
        <f t="shared" si="51"/>
        <v/>
      </c>
      <c r="I100" s="447" t="str">
        <f t="shared" si="51"/>
        <v/>
      </c>
      <c r="J100" s="449" t="str">
        <f t="shared" si="51"/>
        <v/>
      </c>
      <c r="K100" s="451" t="str">
        <f t="shared" si="51"/>
        <v/>
      </c>
      <c r="L100" s="447" t="str">
        <f t="shared" si="51"/>
        <v/>
      </c>
      <c r="M100" s="449" t="str">
        <f t="shared" si="51"/>
        <v/>
      </c>
      <c r="N100" s="449" t="str">
        <f t="shared" si="51"/>
        <v/>
      </c>
      <c r="O100" s="452" t="str">
        <f t="shared" si="51"/>
        <v/>
      </c>
    </row>
    <row r="101" spans="1:17">
      <c r="A101" s="611"/>
      <c r="B101" s="438"/>
      <c r="C101" s="489" t="s">
        <v>349</v>
      </c>
      <c r="D101" s="483" t="str">
        <f>IF(D99="","",D99-D$80)</f>
        <v/>
      </c>
      <c r="E101" s="484" t="str">
        <f t="shared" ref="E101:O101" si="52">IF(E99="","",E99-E$80)</f>
        <v/>
      </c>
      <c r="F101" s="483" t="str">
        <f t="shared" si="52"/>
        <v/>
      </c>
      <c r="G101" s="485" t="str">
        <f t="shared" si="52"/>
        <v/>
      </c>
      <c r="H101" s="486" t="str">
        <f t="shared" si="52"/>
        <v/>
      </c>
      <c r="I101" s="483" t="str">
        <f t="shared" si="52"/>
        <v/>
      </c>
      <c r="J101" s="485" t="str">
        <f t="shared" si="52"/>
        <v/>
      </c>
      <c r="K101" s="487" t="str">
        <f t="shared" si="52"/>
        <v/>
      </c>
      <c r="L101" s="483" t="str">
        <f t="shared" si="52"/>
        <v/>
      </c>
      <c r="M101" s="485" t="str">
        <f t="shared" si="52"/>
        <v/>
      </c>
      <c r="N101" s="485" t="str">
        <f t="shared" si="52"/>
        <v/>
      </c>
      <c r="O101" s="488" t="str">
        <f t="shared" si="52"/>
        <v/>
      </c>
    </row>
    <row r="102" spans="1:17" ht="6" customHeight="1">
      <c r="A102" s="482"/>
      <c r="B102" s="438"/>
      <c r="C102" s="489"/>
      <c r="D102" s="483"/>
      <c r="E102" s="484"/>
      <c r="F102" s="483"/>
      <c r="G102" s="485"/>
      <c r="H102" s="486"/>
      <c r="I102" s="483"/>
      <c r="J102" s="485"/>
      <c r="K102" s="487"/>
      <c r="L102" s="483"/>
      <c r="M102" s="485"/>
      <c r="N102" s="485"/>
      <c r="O102" s="488"/>
    </row>
    <row r="103" spans="1:17">
      <c r="A103" s="611">
        <v>7</v>
      </c>
      <c r="B103" s="615"/>
      <c r="C103" s="439"/>
      <c r="D103" s="440" t="str">
        <f>IF($C103="","",'7. Cost_of_Capital'!$P$58)</f>
        <v/>
      </c>
      <c r="E103" s="441" t="str">
        <f>IF($C103="","",'7. Cost_of_Capital'!$L$58)</f>
        <v/>
      </c>
      <c r="F103" s="440" t="str">
        <f>IF($C103="","",'4. Rate_Base'!$W$18)</f>
        <v/>
      </c>
      <c r="G103" s="442" t="str">
        <f>IF($C103="","",'4. Rate_Base'!$W$26)</f>
        <v/>
      </c>
      <c r="H103" s="443" t="str">
        <f>IF($C103="","",'4. Rate_Base'!$W$30)</f>
        <v/>
      </c>
      <c r="I103" s="440" t="str">
        <f>IF($C103="","",'9. Rev_Reqt'!$N$16)</f>
        <v/>
      </c>
      <c r="J103" s="444" t="str">
        <f>IF($C103="","",'9. Rev_Reqt'!$N$19)</f>
        <v/>
      </c>
      <c r="K103" s="443" t="str">
        <f>IF($C103="","",'9. Rev_Reqt'!$N$15)</f>
        <v/>
      </c>
      <c r="L103" s="440" t="str">
        <f>IF($C103="","",'9. Rev_Reqt'!$N$25)</f>
        <v/>
      </c>
      <c r="M103" s="442" t="str">
        <f>IF($C103="","",'9. Rev_Reqt'!$N$32)</f>
        <v/>
      </c>
      <c r="N103" s="444" t="str">
        <f>IF($C103="","",'9. Rev_Reqt'!$N$28)</f>
        <v/>
      </c>
      <c r="O103" s="445" t="str">
        <f>IF($C103="","",'8. Rev_Def_Suff'!$N$52)</f>
        <v/>
      </c>
      <c r="Q103" s="409" t="str">
        <f t="shared" ref="Q103" si="53">IF(AND(ISBLANK(B103), ISBLANK(C103)), "X", "")</f>
        <v>X</v>
      </c>
    </row>
    <row r="104" spans="1:17">
      <c r="A104" s="611"/>
      <c r="B104" s="616"/>
      <c r="C104" s="446" t="s">
        <v>307</v>
      </c>
      <c r="D104" s="447" t="str">
        <f>IF(D103="","",D103-D99)</f>
        <v/>
      </c>
      <c r="E104" s="448" t="str">
        <f t="shared" ref="E104:O104" si="54">IF(E103="","",E103-E99)</f>
        <v/>
      </c>
      <c r="F104" s="447" t="str">
        <f t="shared" si="54"/>
        <v/>
      </c>
      <c r="G104" s="449" t="str">
        <f t="shared" si="54"/>
        <v/>
      </c>
      <c r="H104" s="450" t="str">
        <f t="shared" si="54"/>
        <v/>
      </c>
      <c r="I104" s="447" t="str">
        <f t="shared" si="54"/>
        <v/>
      </c>
      <c r="J104" s="449" t="str">
        <f t="shared" si="54"/>
        <v/>
      </c>
      <c r="K104" s="451" t="str">
        <f t="shared" si="54"/>
        <v/>
      </c>
      <c r="L104" s="447" t="str">
        <f t="shared" si="54"/>
        <v/>
      </c>
      <c r="M104" s="449" t="str">
        <f t="shared" si="54"/>
        <v/>
      </c>
      <c r="N104" s="449" t="str">
        <f t="shared" si="54"/>
        <v/>
      </c>
      <c r="O104" s="452" t="str">
        <f t="shared" si="54"/>
        <v/>
      </c>
    </row>
    <row r="105" spans="1:17">
      <c r="A105" s="611"/>
      <c r="B105" s="438"/>
      <c r="C105" s="489" t="s">
        <v>349</v>
      </c>
      <c r="D105" s="483" t="str">
        <f>IF(D103="","",D103-D$80)</f>
        <v/>
      </c>
      <c r="E105" s="484" t="str">
        <f t="shared" ref="E105:O105" si="55">IF(E103="","",E103-E$80)</f>
        <v/>
      </c>
      <c r="F105" s="483" t="str">
        <f t="shared" si="55"/>
        <v/>
      </c>
      <c r="G105" s="485" t="str">
        <f t="shared" si="55"/>
        <v/>
      </c>
      <c r="H105" s="486" t="str">
        <f t="shared" si="55"/>
        <v/>
      </c>
      <c r="I105" s="483" t="str">
        <f t="shared" si="55"/>
        <v/>
      </c>
      <c r="J105" s="485" t="str">
        <f t="shared" si="55"/>
        <v/>
      </c>
      <c r="K105" s="487" t="str">
        <f t="shared" si="55"/>
        <v/>
      </c>
      <c r="L105" s="483" t="str">
        <f t="shared" si="55"/>
        <v/>
      </c>
      <c r="M105" s="485" t="str">
        <f t="shared" si="55"/>
        <v/>
      </c>
      <c r="N105" s="485" t="str">
        <f t="shared" si="55"/>
        <v/>
      </c>
      <c r="O105" s="488" t="str">
        <f t="shared" si="55"/>
        <v/>
      </c>
    </row>
    <row r="106" spans="1:17" ht="6" customHeight="1">
      <c r="A106" s="482"/>
      <c r="B106" s="438"/>
      <c r="C106" s="489"/>
      <c r="D106" s="483"/>
      <c r="E106" s="484"/>
      <c r="F106" s="483"/>
      <c r="G106" s="485"/>
      <c r="H106" s="486"/>
      <c r="I106" s="483"/>
      <c r="J106" s="485"/>
      <c r="K106" s="487"/>
      <c r="L106" s="483"/>
      <c r="M106" s="485"/>
      <c r="N106" s="485"/>
      <c r="O106" s="488"/>
    </row>
    <row r="107" spans="1:17" hidden="1" outlineLevel="1">
      <c r="A107" s="611">
        <v>8</v>
      </c>
      <c r="B107" s="615"/>
      <c r="C107" s="439"/>
      <c r="D107" s="440" t="str">
        <f>IF($C107="","",'7. Cost_of_Capital'!$P$58)</f>
        <v/>
      </c>
      <c r="E107" s="441" t="str">
        <f>IF($C107="","",'7. Cost_of_Capital'!$L$58)</f>
        <v/>
      </c>
      <c r="F107" s="440" t="str">
        <f>IF($C107="","",'4. Rate_Base'!$W$18)</f>
        <v/>
      </c>
      <c r="G107" s="442" t="str">
        <f>IF($C107="","",'4. Rate_Base'!$W$26)</f>
        <v/>
      </c>
      <c r="H107" s="443" t="str">
        <f>IF($C107="","",'4. Rate_Base'!$W$30)</f>
        <v/>
      </c>
      <c r="I107" s="440" t="str">
        <f>IF($C107="","",'9. Rev_Reqt'!$N$16)</f>
        <v/>
      </c>
      <c r="J107" s="444" t="str">
        <f>IF($C107="","",'9. Rev_Reqt'!$N$19)</f>
        <v/>
      </c>
      <c r="K107" s="443" t="str">
        <f>IF($C107="","",'9. Rev_Reqt'!$N$15)</f>
        <v/>
      </c>
      <c r="L107" s="440" t="str">
        <f>IF($C107="","",'9. Rev_Reqt'!$N$25)</f>
        <v/>
      </c>
      <c r="M107" s="442" t="str">
        <f>IF($C107="","",'9. Rev_Reqt'!$N$32)</f>
        <v/>
      </c>
      <c r="N107" s="444" t="str">
        <f>IF($C107="","",'9. Rev_Reqt'!$N$28)</f>
        <v/>
      </c>
      <c r="O107" s="445" t="str">
        <f>IF($C107="","",'8. Rev_Def_Suff'!$N$52)</f>
        <v/>
      </c>
      <c r="Q107" s="409" t="str">
        <f t="shared" ref="Q107" si="56">IF(AND(ISBLANK(B107), ISBLANK(C107)), "X", "")</f>
        <v>X</v>
      </c>
    </row>
    <row r="108" spans="1:17" hidden="1" outlineLevel="1">
      <c r="A108" s="611"/>
      <c r="B108" s="616"/>
      <c r="C108" s="446" t="s">
        <v>307</v>
      </c>
      <c r="D108" s="447" t="str">
        <f>IF(D107="","",D107-D103)</f>
        <v/>
      </c>
      <c r="E108" s="448" t="str">
        <f t="shared" ref="E108:O108" si="57">IF(E107="","",E107-E103)</f>
        <v/>
      </c>
      <c r="F108" s="447" t="str">
        <f t="shared" si="57"/>
        <v/>
      </c>
      <c r="G108" s="449" t="str">
        <f t="shared" si="57"/>
        <v/>
      </c>
      <c r="H108" s="450" t="str">
        <f t="shared" si="57"/>
        <v/>
      </c>
      <c r="I108" s="447" t="str">
        <f t="shared" si="57"/>
        <v/>
      </c>
      <c r="J108" s="449" t="str">
        <f t="shared" si="57"/>
        <v/>
      </c>
      <c r="K108" s="451" t="str">
        <f t="shared" si="57"/>
        <v/>
      </c>
      <c r="L108" s="447" t="str">
        <f t="shared" si="57"/>
        <v/>
      </c>
      <c r="M108" s="449" t="str">
        <f t="shared" si="57"/>
        <v/>
      </c>
      <c r="N108" s="449" t="str">
        <f t="shared" si="57"/>
        <v/>
      </c>
      <c r="O108" s="452" t="str">
        <f t="shared" si="57"/>
        <v/>
      </c>
    </row>
    <row r="109" spans="1:17" hidden="1" outlineLevel="1">
      <c r="A109" s="611"/>
      <c r="B109" s="438"/>
      <c r="C109" s="489" t="s">
        <v>349</v>
      </c>
      <c r="D109" s="483" t="str">
        <f>IF(D107="","",D107-D$80)</f>
        <v/>
      </c>
      <c r="E109" s="484" t="str">
        <f t="shared" ref="E109:O109" si="58">IF(E107="","",E107-E$80)</f>
        <v/>
      </c>
      <c r="F109" s="483" t="str">
        <f t="shared" si="58"/>
        <v/>
      </c>
      <c r="G109" s="485" t="str">
        <f t="shared" si="58"/>
        <v/>
      </c>
      <c r="H109" s="486" t="str">
        <f t="shared" si="58"/>
        <v/>
      </c>
      <c r="I109" s="483" t="str">
        <f t="shared" si="58"/>
        <v/>
      </c>
      <c r="J109" s="485" t="str">
        <f t="shared" si="58"/>
        <v/>
      </c>
      <c r="K109" s="487" t="str">
        <f t="shared" si="58"/>
        <v/>
      </c>
      <c r="L109" s="483" t="str">
        <f t="shared" si="58"/>
        <v/>
      </c>
      <c r="M109" s="485" t="str">
        <f t="shared" si="58"/>
        <v/>
      </c>
      <c r="N109" s="485" t="str">
        <f t="shared" si="58"/>
        <v/>
      </c>
      <c r="O109" s="488" t="str">
        <f t="shared" si="58"/>
        <v/>
      </c>
    </row>
    <row r="110" spans="1:17" ht="6" hidden="1" customHeight="1" outlineLevel="1">
      <c r="A110" s="482"/>
      <c r="B110" s="438"/>
      <c r="C110" s="489"/>
      <c r="D110" s="483"/>
      <c r="E110" s="484"/>
      <c r="F110" s="483"/>
      <c r="G110" s="485"/>
      <c r="H110" s="486"/>
      <c r="I110" s="483"/>
      <c r="J110" s="485"/>
      <c r="K110" s="487"/>
      <c r="L110" s="483"/>
      <c r="M110" s="485"/>
      <c r="N110" s="485"/>
      <c r="O110" s="488"/>
    </row>
    <row r="111" spans="1:17" hidden="1" outlineLevel="1">
      <c r="A111" s="611">
        <v>9</v>
      </c>
      <c r="B111" s="615"/>
      <c r="C111" s="439"/>
      <c r="D111" s="440" t="str">
        <f>IF($C111="","",'7. Cost_of_Capital'!$P$58)</f>
        <v/>
      </c>
      <c r="E111" s="441" t="str">
        <f>IF($C111="","",'7. Cost_of_Capital'!$L$58)</f>
        <v/>
      </c>
      <c r="F111" s="440" t="str">
        <f>IF($C111="","",'4. Rate_Base'!$W$18)</f>
        <v/>
      </c>
      <c r="G111" s="442" t="str">
        <f>IF($C111="","",'4. Rate_Base'!$W$26)</f>
        <v/>
      </c>
      <c r="H111" s="443" t="str">
        <f>IF($C111="","",'4. Rate_Base'!$W$30)</f>
        <v/>
      </c>
      <c r="I111" s="440" t="str">
        <f>IF($C111="","",'9. Rev_Reqt'!$N$16)</f>
        <v/>
      </c>
      <c r="J111" s="444" t="str">
        <f>IF($C111="","",'9. Rev_Reqt'!$N$19)</f>
        <v/>
      </c>
      <c r="K111" s="443" t="str">
        <f>IF($C111="","",'9. Rev_Reqt'!$N$15)</f>
        <v/>
      </c>
      <c r="L111" s="440" t="str">
        <f>IF($C111="","",'9. Rev_Reqt'!$N$25)</f>
        <v/>
      </c>
      <c r="M111" s="442" t="str">
        <f>IF($C111="","",'9. Rev_Reqt'!$N$32)</f>
        <v/>
      </c>
      <c r="N111" s="444" t="str">
        <f>IF($C111="","",'9. Rev_Reqt'!$N$28)</f>
        <v/>
      </c>
      <c r="O111" s="445" t="str">
        <f>IF($C111="","",'8. Rev_Def_Suff'!$N$52)</f>
        <v/>
      </c>
      <c r="Q111" s="409" t="str">
        <f t="shared" ref="Q111" si="59">IF(AND(ISBLANK(B111), ISBLANK(C111)), "X", "")</f>
        <v>X</v>
      </c>
    </row>
    <row r="112" spans="1:17" hidden="1" outlineLevel="1">
      <c r="A112" s="611"/>
      <c r="B112" s="616"/>
      <c r="C112" s="446" t="s">
        <v>307</v>
      </c>
      <c r="D112" s="447" t="str">
        <f>IF(D111="","",D111-D107)</f>
        <v/>
      </c>
      <c r="E112" s="448" t="str">
        <f t="shared" ref="E112:O112" si="60">IF(E111="","",E111-E107)</f>
        <v/>
      </c>
      <c r="F112" s="447" t="str">
        <f t="shared" si="60"/>
        <v/>
      </c>
      <c r="G112" s="449" t="str">
        <f t="shared" si="60"/>
        <v/>
      </c>
      <c r="H112" s="450" t="str">
        <f t="shared" si="60"/>
        <v/>
      </c>
      <c r="I112" s="447" t="str">
        <f t="shared" si="60"/>
        <v/>
      </c>
      <c r="J112" s="449" t="str">
        <f t="shared" si="60"/>
        <v/>
      </c>
      <c r="K112" s="451" t="str">
        <f t="shared" si="60"/>
        <v/>
      </c>
      <c r="L112" s="447" t="str">
        <f t="shared" si="60"/>
        <v/>
      </c>
      <c r="M112" s="449" t="str">
        <f t="shared" si="60"/>
        <v/>
      </c>
      <c r="N112" s="449" t="str">
        <f t="shared" si="60"/>
        <v/>
      </c>
      <c r="O112" s="452" t="str">
        <f t="shared" si="60"/>
        <v/>
      </c>
    </row>
    <row r="113" spans="1:17" hidden="1" outlineLevel="1">
      <c r="A113" s="611"/>
      <c r="B113" s="438"/>
      <c r="C113" s="489" t="s">
        <v>349</v>
      </c>
      <c r="D113" s="483" t="str">
        <f>IF(D111="","",D111-D$80)</f>
        <v/>
      </c>
      <c r="E113" s="484" t="str">
        <f t="shared" ref="E113:O113" si="61">IF(E111="","",E111-E$80)</f>
        <v/>
      </c>
      <c r="F113" s="483" t="str">
        <f t="shared" si="61"/>
        <v/>
      </c>
      <c r="G113" s="485" t="str">
        <f t="shared" si="61"/>
        <v/>
      </c>
      <c r="H113" s="486" t="str">
        <f t="shared" si="61"/>
        <v/>
      </c>
      <c r="I113" s="483" t="str">
        <f t="shared" si="61"/>
        <v/>
      </c>
      <c r="J113" s="485" t="str">
        <f t="shared" si="61"/>
        <v/>
      </c>
      <c r="K113" s="487" t="str">
        <f t="shared" si="61"/>
        <v/>
      </c>
      <c r="L113" s="483" t="str">
        <f t="shared" si="61"/>
        <v/>
      </c>
      <c r="M113" s="485" t="str">
        <f t="shared" si="61"/>
        <v/>
      </c>
      <c r="N113" s="485" t="str">
        <f t="shared" si="61"/>
        <v/>
      </c>
      <c r="O113" s="488" t="str">
        <f t="shared" si="61"/>
        <v/>
      </c>
    </row>
    <row r="114" spans="1:17" ht="6" hidden="1" customHeight="1" outlineLevel="1">
      <c r="A114" s="482"/>
      <c r="B114" s="438"/>
      <c r="C114" s="489"/>
      <c r="D114" s="483"/>
      <c r="E114" s="484"/>
      <c r="F114" s="483"/>
      <c r="G114" s="485"/>
      <c r="H114" s="486"/>
      <c r="I114" s="483"/>
      <c r="J114" s="485"/>
      <c r="K114" s="487"/>
      <c r="L114" s="483"/>
      <c r="M114" s="485"/>
      <c r="N114" s="485"/>
      <c r="O114" s="488"/>
    </row>
    <row r="115" spans="1:17" hidden="1" outlineLevel="1">
      <c r="A115" s="611">
        <v>10</v>
      </c>
      <c r="B115" s="615"/>
      <c r="C115" s="439"/>
      <c r="D115" s="440" t="str">
        <f>IF($C115="","",'7. Cost_of_Capital'!$P$58)</f>
        <v/>
      </c>
      <c r="E115" s="441" t="str">
        <f>IF($C115="","",'7. Cost_of_Capital'!$L$58)</f>
        <v/>
      </c>
      <c r="F115" s="440" t="str">
        <f>IF($C115="","",'4. Rate_Base'!$W$18)</f>
        <v/>
      </c>
      <c r="G115" s="442" t="str">
        <f>IF($C115="","",'4. Rate_Base'!$W$26)</f>
        <v/>
      </c>
      <c r="H115" s="443" t="str">
        <f>IF($C115="","",'4. Rate_Base'!$W$30)</f>
        <v/>
      </c>
      <c r="I115" s="440" t="str">
        <f>IF($C115="","",'9. Rev_Reqt'!$N$16)</f>
        <v/>
      </c>
      <c r="J115" s="444" t="str">
        <f>IF($C115="","",'9. Rev_Reqt'!$N$19)</f>
        <v/>
      </c>
      <c r="K115" s="443" t="str">
        <f>IF($C115="","",'9. Rev_Reqt'!$N$15)</f>
        <v/>
      </c>
      <c r="L115" s="440" t="str">
        <f>IF($C115="","",'9. Rev_Reqt'!$N$25)</f>
        <v/>
      </c>
      <c r="M115" s="442" t="str">
        <f>IF($C115="","",'9. Rev_Reqt'!$N$32)</f>
        <v/>
      </c>
      <c r="N115" s="444" t="str">
        <f>IF($C115="","",'9. Rev_Reqt'!$N$28)</f>
        <v/>
      </c>
      <c r="O115" s="445" t="str">
        <f>IF($C115="","",'8. Rev_Def_Suff'!$N$52)</f>
        <v/>
      </c>
      <c r="Q115" s="409" t="str">
        <f t="shared" ref="Q115" si="62">IF(AND(ISBLANK(B115), ISBLANK(C115)), "X", "")</f>
        <v>X</v>
      </c>
    </row>
    <row r="116" spans="1:17" hidden="1" outlineLevel="1">
      <c r="A116" s="611"/>
      <c r="B116" s="616"/>
      <c r="C116" s="446" t="s">
        <v>307</v>
      </c>
      <c r="D116" s="447" t="str">
        <f>IF(D115="","",D115-D111)</f>
        <v/>
      </c>
      <c r="E116" s="448" t="str">
        <f t="shared" ref="E116:O116" si="63">IF(E115="","",E115-E111)</f>
        <v/>
      </c>
      <c r="F116" s="447" t="str">
        <f t="shared" si="63"/>
        <v/>
      </c>
      <c r="G116" s="449" t="str">
        <f t="shared" si="63"/>
        <v/>
      </c>
      <c r="H116" s="450" t="str">
        <f t="shared" si="63"/>
        <v/>
      </c>
      <c r="I116" s="447" t="str">
        <f t="shared" si="63"/>
        <v/>
      </c>
      <c r="J116" s="449" t="str">
        <f t="shared" si="63"/>
        <v/>
      </c>
      <c r="K116" s="451" t="str">
        <f t="shared" si="63"/>
        <v/>
      </c>
      <c r="L116" s="447" t="str">
        <f t="shared" si="63"/>
        <v/>
      </c>
      <c r="M116" s="449" t="str">
        <f t="shared" si="63"/>
        <v/>
      </c>
      <c r="N116" s="449" t="str">
        <f t="shared" si="63"/>
        <v/>
      </c>
      <c r="O116" s="452" t="str">
        <f t="shared" si="63"/>
        <v/>
      </c>
    </row>
    <row r="117" spans="1:17" hidden="1" outlineLevel="1">
      <c r="A117" s="611"/>
      <c r="B117" s="438"/>
      <c r="C117" s="489" t="s">
        <v>349</v>
      </c>
      <c r="D117" s="483" t="str">
        <f>IF(D115="","",D115-D$80)</f>
        <v/>
      </c>
      <c r="E117" s="484" t="str">
        <f t="shared" ref="E117:O117" si="64">IF(E115="","",E115-E$80)</f>
        <v/>
      </c>
      <c r="F117" s="483" t="str">
        <f t="shared" si="64"/>
        <v/>
      </c>
      <c r="G117" s="485" t="str">
        <f t="shared" si="64"/>
        <v/>
      </c>
      <c r="H117" s="486" t="str">
        <f t="shared" si="64"/>
        <v/>
      </c>
      <c r="I117" s="483" t="str">
        <f t="shared" si="64"/>
        <v/>
      </c>
      <c r="J117" s="485" t="str">
        <f t="shared" si="64"/>
        <v/>
      </c>
      <c r="K117" s="487" t="str">
        <f t="shared" si="64"/>
        <v/>
      </c>
      <c r="L117" s="483" t="str">
        <f t="shared" si="64"/>
        <v/>
      </c>
      <c r="M117" s="485" t="str">
        <f t="shared" si="64"/>
        <v/>
      </c>
      <c r="N117" s="485" t="str">
        <f t="shared" si="64"/>
        <v/>
      </c>
      <c r="O117" s="488" t="str">
        <f t="shared" si="64"/>
        <v/>
      </c>
    </row>
    <row r="118" spans="1:17" hidden="1" outlineLevel="1">
      <c r="A118" s="611">
        <v>30</v>
      </c>
      <c r="B118" s="615"/>
      <c r="C118" s="439"/>
      <c r="D118" s="440"/>
      <c r="E118" s="441"/>
      <c r="F118" s="440"/>
      <c r="G118" s="442"/>
      <c r="H118" s="443"/>
      <c r="I118" s="440"/>
      <c r="J118" s="444"/>
      <c r="K118" s="443"/>
      <c r="L118" s="440"/>
      <c r="M118" s="442"/>
      <c r="N118" s="444"/>
      <c r="O118" s="445"/>
      <c r="Q118" s="409" t="str">
        <f t="shared" ref="Q118" si="65">IF(AND(ISBLANK(B118), ISBLANK(C118)), "X", "")</f>
        <v>X</v>
      </c>
    </row>
    <row r="119" spans="1:17" hidden="1" outlineLevel="1">
      <c r="A119" s="611"/>
      <c r="B119" s="616"/>
      <c r="C119" s="446" t="s">
        <v>307</v>
      </c>
      <c r="D119" s="453"/>
      <c r="E119" s="448"/>
      <c r="F119" s="453"/>
      <c r="G119" s="454"/>
      <c r="H119" s="436"/>
      <c r="I119" s="453"/>
      <c r="J119" s="454"/>
      <c r="K119" s="455"/>
      <c r="L119" s="453"/>
      <c r="M119" s="454"/>
      <c r="N119" s="454"/>
      <c r="O119" s="456"/>
    </row>
    <row r="120" spans="1:17" hidden="1" outlineLevel="1">
      <c r="A120" s="611"/>
      <c r="B120" s="438"/>
      <c r="C120" s="416"/>
      <c r="D120" s="426"/>
      <c r="E120" s="427"/>
      <c r="F120" s="426"/>
      <c r="G120" s="428"/>
      <c r="H120" s="427"/>
      <c r="I120" s="426"/>
      <c r="J120" s="428"/>
      <c r="K120" s="427"/>
      <c r="L120" s="426"/>
      <c r="M120" s="428"/>
      <c r="N120" s="428"/>
      <c r="O120" s="416"/>
    </row>
    <row r="121" spans="1:17" hidden="1" outlineLevel="1">
      <c r="A121" s="611">
        <v>31</v>
      </c>
      <c r="B121" s="615"/>
      <c r="C121" s="439"/>
      <c r="D121" s="440"/>
      <c r="E121" s="441"/>
      <c r="F121" s="440"/>
      <c r="G121" s="442"/>
      <c r="H121" s="443"/>
      <c r="I121" s="440"/>
      <c r="J121" s="444"/>
      <c r="K121" s="443"/>
      <c r="L121" s="440"/>
      <c r="M121" s="442"/>
      <c r="N121" s="444"/>
      <c r="O121" s="445"/>
      <c r="Q121" s="409" t="str">
        <f t="shared" ref="Q121" si="66">IF(AND(ISBLANK(B121), ISBLANK(C121)), "X", "")</f>
        <v>X</v>
      </c>
    </row>
    <row r="122" spans="1:17" hidden="1" outlineLevel="1">
      <c r="A122" s="611"/>
      <c r="B122" s="616"/>
      <c r="C122" s="446" t="s">
        <v>307</v>
      </c>
      <c r="D122" s="453"/>
      <c r="E122" s="448"/>
      <c r="F122" s="453"/>
      <c r="G122" s="454"/>
      <c r="H122" s="436"/>
      <c r="I122" s="453"/>
      <c r="J122" s="454"/>
      <c r="K122" s="455"/>
      <c r="L122" s="453"/>
      <c r="M122" s="454"/>
      <c r="N122" s="454"/>
      <c r="O122" s="456"/>
    </row>
    <row r="123" spans="1:17" hidden="1" outlineLevel="1">
      <c r="A123" s="611"/>
      <c r="B123" s="438"/>
      <c r="C123" s="416"/>
      <c r="D123" s="426"/>
      <c r="E123" s="427"/>
      <c r="F123" s="426"/>
      <c r="G123" s="428"/>
      <c r="H123" s="427"/>
      <c r="I123" s="426"/>
      <c r="J123" s="428"/>
      <c r="K123" s="427"/>
      <c r="L123" s="426"/>
      <c r="M123" s="428"/>
      <c r="N123" s="428"/>
      <c r="O123" s="416"/>
    </row>
    <row r="124" spans="1:17" hidden="1" outlineLevel="1">
      <c r="A124" s="611">
        <v>32</v>
      </c>
      <c r="B124" s="615"/>
      <c r="C124" s="439"/>
      <c r="D124" s="440"/>
      <c r="E124" s="441"/>
      <c r="F124" s="440"/>
      <c r="G124" s="442"/>
      <c r="H124" s="443"/>
      <c r="I124" s="440"/>
      <c r="J124" s="444"/>
      <c r="K124" s="443"/>
      <c r="L124" s="440"/>
      <c r="M124" s="442"/>
      <c r="N124" s="444"/>
      <c r="O124" s="445"/>
      <c r="Q124" s="409" t="str">
        <f t="shared" ref="Q124" si="67">IF(AND(ISBLANK(B124), ISBLANK(C124)), "X", "")</f>
        <v>X</v>
      </c>
    </row>
    <row r="125" spans="1:17" hidden="1" outlineLevel="1">
      <c r="A125" s="611"/>
      <c r="B125" s="616"/>
      <c r="C125" s="446" t="s">
        <v>307</v>
      </c>
      <c r="D125" s="453"/>
      <c r="E125" s="448"/>
      <c r="F125" s="453"/>
      <c r="G125" s="454"/>
      <c r="H125" s="436"/>
      <c r="I125" s="453"/>
      <c r="J125" s="454"/>
      <c r="K125" s="455"/>
      <c r="L125" s="453"/>
      <c r="M125" s="454"/>
      <c r="N125" s="454"/>
      <c r="O125" s="456"/>
    </row>
    <row r="126" spans="1:17" hidden="1" outlineLevel="1">
      <c r="A126" s="611"/>
      <c r="B126" s="438"/>
      <c r="C126" s="416"/>
      <c r="D126" s="426"/>
      <c r="E126" s="427"/>
      <c r="F126" s="426"/>
      <c r="G126" s="428"/>
      <c r="H126" s="427"/>
      <c r="I126" s="426"/>
      <c r="J126" s="428"/>
      <c r="K126" s="427"/>
      <c r="L126" s="426"/>
      <c r="M126" s="428"/>
      <c r="N126" s="428"/>
      <c r="O126" s="416"/>
    </row>
    <row r="127" spans="1:17" hidden="1" outlineLevel="1">
      <c r="A127" s="611">
        <v>33</v>
      </c>
      <c r="B127" s="615"/>
      <c r="C127" s="439"/>
      <c r="D127" s="440"/>
      <c r="E127" s="441"/>
      <c r="F127" s="440"/>
      <c r="G127" s="442"/>
      <c r="H127" s="443"/>
      <c r="I127" s="440"/>
      <c r="J127" s="444"/>
      <c r="K127" s="443"/>
      <c r="L127" s="440"/>
      <c r="M127" s="442"/>
      <c r="N127" s="444"/>
      <c r="O127" s="445"/>
      <c r="Q127" s="409" t="str">
        <f t="shared" ref="Q127" si="68">IF(AND(ISBLANK(B127), ISBLANK(C127)), "X", "")</f>
        <v>X</v>
      </c>
    </row>
    <row r="128" spans="1:17" hidden="1" outlineLevel="1">
      <c r="A128" s="611"/>
      <c r="B128" s="616"/>
      <c r="C128" s="446" t="s">
        <v>307</v>
      </c>
      <c r="D128" s="453"/>
      <c r="E128" s="448"/>
      <c r="F128" s="453"/>
      <c r="G128" s="454"/>
      <c r="H128" s="436"/>
      <c r="I128" s="453"/>
      <c r="J128" s="454"/>
      <c r="K128" s="455"/>
      <c r="L128" s="453"/>
      <c r="M128" s="454"/>
      <c r="N128" s="454"/>
      <c r="O128" s="456"/>
    </row>
    <row r="129" spans="1:18" hidden="1" outlineLevel="1">
      <c r="A129" s="611"/>
      <c r="B129" s="438"/>
      <c r="C129" s="416"/>
      <c r="D129" s="426"/>
      <c r="E129" s="427"/>
      <c r="F129" s="426"/>
      <c r="G129" s="428"/>
      <c r="H129" s="427"/>
      <c r="I129" s="426"/>
      <c r="J129" s="428"/>
      <c r="K129" s="427"/>
      <c r="L129" s="426"/>
      <c r="M129" s="428"/>
      <c r="N129" s="428"/>
      <c r="O129" s="416"/>
    </row>
    <row r="130" spans="1:18" hidden="1" outlineLevel="1">
      <c r="A130" s="611">
        <v>34</v>
      </c>
      <c r="B130" s="615"/>
      <c r="C130" s="439"/>
      <c r="D130" s="440"/>
      <c r="E130" s="441"/>
      <c r="F130" s="440"/>
      <c r="G130" s="442"/>
      <c r="H130" s="443"/>
      <c r="I130" s="440"/>
      <c r="J130" s="444"/>
      <c r="K130" s="443"/>
      <c r="L130" s="440"/>
      <c r="M130" s="442"/>
      <c r="N130" s="444"/>
      <c r="O130" s="445"/>
      <c r="Q130" s="409" t="str">
        <f t="shared" ref="Q130" si="69">IF(AND(ISBLANK(B130), ISBLANK(C130)), "X", "")</f>
        <v>X</v>
      </c>
    </row>
    <row r="131" spans="1:18" hidden="1" outlineLevel="1">
      <c r="A131" s="611"/>
      <c r="B131" s="616"/>
      <c r="C131" s="446" t="s">
        <v>307</v>
      </c>
      <c r="D131" s="453"/>
      <c r="E131" s="448"/>
      <c r="F131" s="453"/>
      <c r="G131" s="454"/>
      <c r="H131" s="436"/>
      <c r="I131" s="453"/>
      <c r="J131" s="454"/>
      <c r="K131" s="455"/>
      <c r="L131" s="453"/>
      <c r="M131" s="454"/>
      <c r="N131" s="454"/>
      <c r="O131" s="456"/>
    </row>
    <row r="132" spans="1:18" hidden="1" outlineLevel="1">
      <c r="A132" s="611"/>
      <c r="B132" s="438"/>
      <c r="C132" s="416"/>
      <c r="D132" s="426"/>
      <c r="E132" s="427"/>
      <c r="F132" s="426"/>
      <c r="G132" s="428"/>
      <c r="H132" s="427"/>
      <c r="I132" s="426"/>
      <c r="J132" s="428"/>
      <c r="K132" s="427"/>
      <c r="L132" s="426"/>
      <c r="M132" s="428"/>
      <c r="N132" s="428"/>
      <c r="O132" s="416"/>
    </row>
    <row r="133" spans="1:18" hidden="1" outlineLevel="1">
      <c r="A133" s="611">
        <v>35</v>
      </c>
      <c r="B133" s="615"/>
      <c r="C133" s="439"/>
      <c r="D133" s="440"/>
      <c r="E133" s="441"/>
      <c r="F133" s="440"/>
      <c r="G133" s="442"/>
      <c r="H133" s="443"/>
      <c r="I133" s="440"/>
      <c r="J133" s="444"/>
      <c r="K133" s="443"/>
      <c r="L133" s="440"/>
      <c r="M133" s="442"/>
      <c r="N133" s="444"/>
      <c r="O133" s="445"/>
      <c r="Q133" s="409" t="str">
        <f t="shared" ref="Q133" si="70">IF(AND(ISBLANK(B133), ISBLANK(C133)), "X", "")</f>
        <v>X</v>
      </c>
    </row>
    <row r="134" spans="1:18" hidden="1" outlineLevel="1">
      <c r="A134" s="611"/>
      <c r="B134" s="616"/>
      <c r="C134" s="446" t="s">
        <v>307</v>
      </c>
      <c r="D134" s="453"/>
      <c r="E134" s="448"/>
      <c r="F134" s="453"/>
      <c r="G134" s="454"/>
      <c r="H134" s="436"/>
      <c r="I134" s="453"/>
      <c r="J134" s="454"/>
      <c r="K134" s="455"/>
      <c r="L134" s="453"/>
      <c r="M134" s="454"/>
      <c r="N134" s="454"/>
      <c r="O134" s="456"/>
    </row>
    <row r="135" spans="1:18" hidden="1" outlineLevel="1">
      <c r="A135" s="611"/>
      <c r="B135" s="438"/>
      <c r="C135" s="416"/>
      <c r="D135" s="426"/>
      <c r="E135" s="427"/>
      <c r="F135" s="426"/>
      <c r="G135" s="428"/>
      <c r="H135" s="427"/>
      <c r="I135" s="426"/>
      <c r="J135" s="428"/>
      <c r="K135" s="427"/>
      <c r="L135" s="426"/>
      <c r="M135" s="428"/>
      <c r="N135" s="428"/>
      <c r="O135" s="416"/>
    </row>
    <row r="136" spans="1:18" hidden="1" outlineLevel="1">
      <c r="A136" s="611">
        <v>36</v>
      </c>
      <c r="B136" s="615"/>
      <c r="C136" s="439"/>
      <c r="D136" s="440"/>
      <c r="E136" s="441"/>
      <c r="F136" s="440"/>
      <c r="G136" s="442"/>
      <c r="H136" s="443"/>
      <c r="I136" s="440"/>
      <c r="J136" s="444"/>
      <c r="K136" s="443"/>
      <c r="L136" s="440"/>
      <c r="M136" s="442"/>
      <c r="N136" s="444"/>
      <c r="O136" s="445"/>
      <c r="Q136" s="409" t="str">
        <f t="shared" ref="Q136" si="71">IF(AND(ISBLANK(B136), ISBLANK(C136)), "X", "")</f>
        <v>X</v>
      </c>
    </row>
    <row r="137" spans="1:18" hidden="1" outlineLevel="1">
      <c r="A137" s="611"/>
      <c r="B137" s="616"/>
      <c r="C137" s="446" t="s">
        <v>307</v>
      </c>
      <c r="D137" s="453"/>
      <c r="E137" s="448"/>
      <c r="F137" s="453"/>
      <c r="G137" s="454"/>
      <c r="H137" s="436"/>
      <c r="I137" s="453"/>
      <c r="J137" s="454"/>
      <c r="K137" s="455"/>
      <c r="L137" s="453"/>
      <c r="M137" s="454"/>
      <c r="N137" s="454"/>
      <c r="O137" s="456"/>
    </row>
    <row r="138" spans="1:18" hidden="1" outlineLevel="1">
      <c r="A138" s="611"/>
      <c r="B138" s="438"/>
      <c r="C138" s="416"/>
      <c r="D138" s="426"/>
      <c r="E138" s="427"/>
      <c r="F138" s="426"/>
      <c r="G138" s="428"/>
      <c r="H138" s="427"/>
      <c r="I138" s="426"/>
      <c r="J138" s="428"/>
      <c r="K138" s="427"/>
      <c r="L138" s="426"/>
      <c r="M138" s="428"/>
      <c r="N138" s="428"/>
      <c r="O138" s="416"/>
      <c r="R138" s="409" t="s">
        <v>309</v>
      </c>
    </row>
    <row r="139" spans="1:18" hidden="1" outlineLevel="1">
      <c r="A139" s="611">
        <v>37</v>
      </c>
      <c r="B139" s="615"/>
      <c r="C139" s="439"/>
      <c r="D139" s="440"/>
      <c r="E139" s="441"/>
      <c r="F139" s="440"/>
      <c r="G139" s="442"/>
      <c r="H139" s="443"/>
      <c r="I139" s="440"/>
      <c r="J139" s="444"/>
      <c r="K139" s="443"/>
      <c r="L139" s="440"/>
      <c r="M139" s="442"/>
      <c r="N139" s="444"/>
      <c r="O139" s="445"/>
      <c r="Q139" s="409" t="str">
        <f t="shared" ref="Q139" si="72">IF(AND(ISBLANK(B139), ISBLANK(C139)), "X", "")</f>
        <v>X</v>
      </c>
    </row>
    <row r="140" spans="1:18" hidden="1" outlineLevel="1">
      <c r="A140" s="611"/>
      <c r="B140" s="616"/>
      <c r="C140" s="446" t="s">
        <v>307</v>
      </c>
      <c r="D140" s="453"/>
      <c r="E140" s="448"/>
      <c r="F140" s="453"/>
      <c r="G140" s="454"/>
      <c r="H140" s="436"/>
      <c r="I140" s="453"/>
      <c r="J140" s="454"/>
      <c r="K140" s="455"/>
      <c r="L140" s="453"/>
      <c r="M140" s="454"/>
      <c r="N140" s="454"/>
      <c r="O140" s="456"/>
    </row>
    <row r="141" spans="1:18" hidden="1" outlineLevel="1">
      <c r="A141" s="611"/>
      <c r="B141" s="438"/>
      <c r="C141" s="416"/>
      <c r="D141" s="426"/>
      <c r="E141" s="427"/>
      <c r="F141" s="426"/>
      <c r="G141" s="428"/>
      <c r="H141" s="427"/>
      <c r="I141" s="426"/>
      <c r="J141" s="428"/>
      <c r="K141" s="427"/>
      <c r="L141" s="426"/>
      <c r="M141" s="428"/>
      <c r="N141" s="428"/>
      <c r="O141" s="416"/>
    </row>
    <row r="142" spans="1:18" hidden="1" outlineLevel="1">
      <c r="A142" s="611">
        <v>38</v>
      </c>
      <c r="B142" s="615"/>
      <c r="C142" s="439"/>
      <c r="D142" s="440"/>
      <c r="E142" s="441"/>
      <c r="F142" s="440"/>
      <c r="G142" s="442"/>
      <c r="H142" s="443"/>
      <c r="I142" s="440"/>
      <c r="J142" s="444"/>
      <c r="K142" s="443"/>
      <c r="L142" s="440"/>
      <c r="M142" s="442"/>
      <c r="N142" s="444"/>
      <c r="O142" s="445"/>
      <c r="Q142" s="409" t="str">
        <f t="shared" ref="Q142" si="73">IF(AND(ISBLANK(B142), ISBLANK(C142)), "X", "")</f>
        <v>X</v>
      </c>
    </row>
    <row r="143" spans="1:18" hidden="1" outlineLevel="1">
      <c r="A143" s="611"/>
      <c r="B143" s="616"/>
      <c r="C143" s="446" t="s">
        <v>307</v>
      </c>
      <c r="D143" s="453"/>
      <c r="E143" s="448"/>
      <c r="F143" s="453"/>
      <c r="G143" s="454"/>
      <c r="H143" s="436"/>
      <c r="I143" s="453"/>
      <c r="J143" s="454"/>
      <c r="K143" s="455"/>
      <c r="L143" s="453"/>
      <c r="M143" s="454"/>
      <c r="N143" s="454"/>
      <c r="O143" s="456"/>
    </row>
    <row r="144" spans="1:18" hidden="1" outlineLevel="1">
      <c r="A144" s="611"/>
      <c r="B144" s="438"/>
      <c r="C144" s="416"/>
      <c r="D144" s="426"/>
      <c r="E144" s="427"/>
      <c r="F144" s="426"/>
      <c r="G144" s="428"/>
      <c r="H144" s="427"/>
      <c r="I144" s="426"/>
      <c r="J144" s="428"/>
      <c r="K144" s="427"/>
      <c r="L144" s="426"/>
      <c r="M144" s="428"/>
      <c r="N144" s="428"/>
      <c r="O144" s="416"/>
    </row>
    <row r="145" spans="1:17" hidden="1" outlineLevel="1">
      <c r="A145" s="611">
        <v>39</v>
      </c>
      <c r="B145" s="615"/>
      <c r="C145" s="439"/>
      <c r="D145" s="440"/>
      <c r="E145" s="441"/>
      <c r="F145" s="440"/>
      <c r="G145" s="442"/>
      <c r="H145" s="443"/>
      <c r="I145" s="440"/>
      <c r="J145" s="444"/>
      <c r="K145" s="443"/>
      <c r="L145" s="440"/>
      <c r="M145" s="442"/>
      <c r="N145" s="444"/>
      <c r="O145" s="445"/>
      <c r="Q145" s="409" t="str">
        <f t="shared" ref="Q145" si="74">IF(AND(ISBLANK(B145), ISBLANK(C145)), "X", "")</f>
        <v>X</v>
      </c>
    </row>
    <row r="146" spans="1:17" hidden="1" outlineLevel="1">
      <c r="A146" s="611"/>
      <c r="B146" s="616"/>
      <c r="C146" s="446" t="s">
        <v>307</v>
      </c>
      <c r="D146" s="453"/>
      <c r="E146" s="448"/>
      <c r="F146" s="453"/>
      <c r="G146" s="454"/>
      <c r="H146" s="436"/>
      <c r="I146" s="453"/>
      <c r="J146" s="454"/>
      <c r="K146" s="455"/>
      <c r="L146" s="453"/>
      <c r="M146" s="454"/>
      <c r="N146" s="454"/>
      <c r="O146" s="456"/>
    </row>
    <row r="147" spans="1:17" hidden="1" outlineLevel="1">
      <c r="A147" s="611"/>
      <c r="B147" s="438"/>
      <c r="C147" s="416"/>
      <c r="D147" s="426"/>
      <c r="E147" s="427"/>
      <c r="F147" s="426"/>
      <c r="G147" s="428"/>
      <c r="H147" s="427"/>
      <c r="I147" s="426"/>
      <c r="J147" s="428"/>
      <c r="K147" s="427"/>
      <c r="L147" s="426"/>
      <c r="M147" s="428"/>
      <c r="N147" s="428"/>
      <c r="O147" s="416"/>
    </row>
    <row r="148" spans="1:17" hidden="1" outlineLevel="1">
      <c r="A148" s="611">
        <v>40</v>
      </c>
      <c r="B148" s="615"/>
      <c r="C148" s="439"/>
      <c r="D148" s="440"/>
      <c r="E148" s="441"/>
      <c r="F148" s="440"/>
      <c r="G148" s="442"/>
      <c r="H148" s="443"/>
      <c r="I148" s="440"/>
      <c r="J148" s="444"/>
      <c r="K148" s="443"/>
      <c r="L148" s="440"/>
      <c r="M148" s="442"/>
      <c r="N148" s="444"/>
      <c r="O148" s="445"/>
      <c r="Q148" s="409" t="str">
        <f t="shared" ref="Q148" si="75">IF(AND(ISBLANK(B148), ISBLANK(C148)), "X", "")</f>
        <v>X</v>
      </c>
    </row>
    <row r="149" spans="1:17" hidden="1" outlineLevel="1">
      <c r="A149" s="611"/>
      <c r="B149" s="616"/>
      <c r="C149" s="446" t="s">
        <v>307</v>
      </c>
      <c r="D149" s="453"/>
      <c r="E149" s="448"/>
      <c r="F149" s="453"/>
      <c r="G149" s="454"/>
      <c r="H149" s="436"/>
      <c r="I149" s="453"/>
      <c r="J149" s="454"/>
      <c r="K149" s="455"/>
      <c r="L149" s="453"/>
      <c r="M149" s="454"/>
      <c r="N149" s="454"/>
      <c r="O149" s="456"/>
    </row>
    <row r="150" spans="1:17" hidden="1" outlineLevel="1">
      <c r="A150" s="611"/>
      <c r="B150" s="438"/>
      <c r="C150" s="416"/>
      <c r="D150" s="426"/>
      <c r="E150" s="427"/>
      <c r="F150" s="426"/>
      <c r="G150" s="428"/>
      <c r="H150" s="427"/>
      <c r="I150" s="426"/>
      <c r="J150" s="428"/>
      <c r="K150" s="427"/>
      <c r="L150" s="426"/>
      <c r="M150" s="428"/>
      <c r="N150" s="428"/>
      <c r="O150" s="416"/>
    </row>
    <row r="151" spans="1:17" hidden="1" outlineLevel="1">
      <c r="A151" s="611">
        <v>41</v>
      </c>
      <c r="B151" s="615"/>
      <c r="C151" s="439"/>
      <c r="D151" s="440"/>
      <c r="E151" s="441"/>
      <c r="F151" s="440"/>
      <c r="G151" s="442"/>
      <c r="H151" s="443"/>
      <c r="I151" s="440"/>
      <c r="J151" s="444"/>
      <c r="K151" s="443"/>
      <c r="L151" s="440"/>
      <c r="M151" s="442"/>
      <c r="N151" s="444"/>
      <c r="O151" s="445"/>
      <c r="Q151" s="409" t="str">
        <f t="shared" ref="Q151" si="76">IF(AND(ISBLANK(B151), ISBLANK(C151)), "X", "")</f>
        <v>X</v>
      </c>
    </row>
    <row r="152" spans="1:17" hidden="1" outlineLevel="1">
      <c r="A152" s="611"/>
      <c r="B152" s="616"/>
      <c r="C152" s="446" t="s">
        <v>307</v>
      </c>
      <c r="D152" s="453"/>
      <c r="E152" s="448"/>
      <c r="F152" s="453"/>
      <c r="G152" s="454"/>
      <c r="H152" s="436"/>
      <c r="I152" s="453"/>
      <c r="J152" s="454"/>
      <c r="K152" s="455"/>
      <c r="L152" s="453"/>
      <c r="M152" s="454"/>
      <c r="N152" s="454"/>
      <c r="O152" s="456"/>
    </row>
    <row r="153" spans="1:17" hidden="1" outlineLevel="1">
      <c r="A153" s="611"/>
      <c r="B153" s="438"/>
      <c r="C153" s="416"/>
      <c r="D153" s="426"/>
      <c r="E153" s="427"/>
      <c r="F153" s="426"/>
      <c r="G153" s="428"/>
      <c r="H153" s="427"/>
      <c r="I153" s="426"/>
      <c r="J153" s="428"/>
      <c r="K153" s="427"/>
      <c r="L153" s="426"/>
      <c r="M153" s="428"/>
      <c r="N153" s="428"/>
      <c r="O153" s="416"/>
    </row>
    <row r="154" spans="1:17" hidden="1" outlineLevel="1">
      <c r="A154" s="611">
        <v>42</v>
      </c>
      <c r="B154" s="615"/>
      <c r="C154" s="439"/>
      <c r="D154" s="440"/>
      <c r="E154" s="441"/>
      <c r="F154" s="440"/>
      <c r="G154" s="442"/>
      <c r="H154" s="443"/>
      <c r="I154" s="440"/>
      <c r="J154" s="444"/>
      <c r="K154" s="443"/>
      <c r="L154" s="440"/>
      <c r="M154" s="442"/>
      <c r="N154" s="444"/>
      <c r="O154" s="445"/>
      <c r="Q154" s="409" t="str">
        <f t="shared" ref="Q154" si="77">IF(AND(ISBLANK(B154), ISBLANK(C154)), "X", "")</f>
        <v>X</v>
      </c>
    </row>
    <row r="155" spans="1:17" hidden="1" outlineLevel="1">
      <c r="A155" s="611"/>
      <c r="B155" s="616"/>
      <c r="C155" s="446" t="s">
        <v>307</v>
      </c>
      <c r="D155" s="453"/>
      <c r="E155" s="448"/>
      <c r="F155" s="453"/>
      <c r="G155" s="454"/>
      <c r="H155" s="436"/>
      <c r="I155" s="453"/>
      <c r="J155" s="454"/>
      <c r="K155" s="455"/>
      <c r="L155" s="453"/>
      <c r="M155" s="454"/>
      <c r="N155" s="454"/>
      <c r="O155" s="456"/>
    </row>
    <row r="156" spans="1:17" hidden="1" outlineLevel="1">
      <c r="A156" s="611"/>
      <c r="B156" s="438"/>
      <c r="C156" s="416"/>
      <c r="D156" s="426"/>
      <c r="E156" s="427"/>
      <c r="F156" s="426"/>
      <c r="G156" s="428"/>
      <c r="H156" s="427"/>
      <c r="I156" s="426"/>
      <c r="J156" s="428"/>
      <c r="K156" s="427"/>
      <c r="L156" s="426"/>
      <c r="M156" s="428"/>
      <c r="N156" s="428"/>
      <c r="O156" s="416"/>
    </row>
    <row r="157" spans="1:17" hidden="1" outlineLevel="1">
      <c r="A157" s="611">
        <v>43</v>
      </c>
      <c r="B157" s="615"/>
      <c r="C157" s="439"/>
      <c r="D157" s="440"/>
      <c r="E157" s="441"/>
      <c r="F157" s="440"/>
      <c r="G157" s="442"/>
      <c r="H157" s="443"/>
      <c r="I157" s="440"/>
      <c r="J157" s="444"/>
      <c r="K157" s="443"/>
      <c r="L157" s="440"/>
      <c r="M157" s="442"/>
      <c r="N157" s="444"/>
      <c r="O157" s="445"/>
      <c r="Q157" s="409" t="str">
        <f t="shared" ref="Q157" si="78">IF(AND(ISBLANK(B157), ISBLANK(C157)), "X", "")</f>
        <v>X</v>
      </c>
    </row>
    <row r="158" spans="1:17" hidden="1" outlineLevel="1">
      <c r="A158" s="611"/>
      <c r="B158" s="616"/>
      <c r="C158" s="446" t="s">
        <v>307</v>
      </c>
      <c r="D158" s="453"/>
      <c r="E158" s="448"/>
      <c r="F158" s="453"/>
      <c r="G158" s="454"/>
      <c r="H158" s="436"/>
      <c r="I158" s="453"/>
      <c r="J158" s="454"/>
      <c r="K158" s="455"/>
      <c r="L158" s="453"/>
      <c r="M158" s="454"/>
      <c r="N158" s="454"/>
      <c r="O158" s="456"/>
    </row>
    <row r="159" spans="1:17" hidden="1" outlineLevel="1">
      <c r="A159" s="611"/>
      <c r="B159" s="438"/>
      <c r="C159" s="416"/>
      <c r="D159" s="426"/>
      <c r="E159" s="427"/>
      <c r="F159" s="426"/>
      <c r="G159" s="428"/>
      <c r="H159" s="427"/>
      <c r="I159" s="426"/>
      <c r="J159" s="428"/>
      <c r="K159" s="427"/>
      <c r="L159" s="426"/>
      <c r="M159" s="428"/>
      <c r="N159" s="428"/>
      <c r="O159" s="416"/>
    </row>
    <row r="160" spans="1:17" hidden="1" outlineLevel="1">
      <c r="A160" s="611">
        <v>44</v>
      </c>
      <c r="B160" s="615"/>
      <c r="C160" s="439"/>
      <c r="D160" s="440"/>
      <c r="E160" s="441"/>
      <c r="F160" s="440"/>
      <c r="G160" s="442"/>
      <c r="H160" s="443"/>
      <c r="I160" s="440"/>
      <c r="J160" s="444"/>
      <c r="K160" s="443"/>
      <c r="L160" s="440"/>
      <c r="M160" s="442"/>
      <c r="N160" s="444"/>
      <c r="O160" s="445"/>
      <c r="Q160" s="409" t="str">
        <f t="shared" ref="Q160" si="79">IF(AND(ISBLANK(B160), ISBLANK(C160)), "X", "")</f>
        <v>X</v>
      </c>
    </row>
    <row r="161" spans="1:17" hidden="1" outlineLevel="1">
      <c r="A161" s="611"/>
      <c r="B161" s="616"/>
      <c r="C161" s="446" t="s">
        <v>307</v>
      </c>
      <c r="D161" s="453"/>
      <c r="E161" s="448"/>
      <c r="F161" s="453"/>
      <c r="G161" s="454"/>
      <c r="H161" s="436"/>
      <c r="I161" s="453"/>
      <c r="J161" s="454"/>
      <c r="K161" s="455"/>
      <c r="L161" s="453"/>
      <c r="M161" s="454"/>
      <c r="N161" s="454"/>
      <c r="O161" s="456"/>
    </row>
    <row r="162" spans="1:17" hidden="1" outlineLevel="1">
      <c r="A162" s="611"/>
      <c r="B162" s="438"/>
      <c r="C162" s="416"/>
      <c r="D162" s="426"/>
      <c r="E162" s="427"/>
      <c r="F162" s="426"/>
      <c r="G162" s="428"/>
      <c r="H162" s="427"/>
      <c r="I162" s="426"/>
      <c r="J162" s="428"/>
      <c r="K162" s="427"/>
      <c r="L162" s="426"/>
      <c r="M162" s="428"/>
      <c r="N162" s="428"/>
      <c r="O162" s="416"/>
    </row>
    <row r="163" spans="1:17" hidden="1" outlineLevel="1">
      <c r="A163" s="611">
        <v>45</v>
      </c>
      <c r="B163" s="615"/>
      <c r="C163" s="439"/>
      <c r="D163" s="440"/>
      <c r="E163" s="441"/>
      <c r="F163" s="440"/>
      <c r="G163" s="442"/>
      <c r="H163" s="443"/>
      <c r="I163" s="440"/>
      <c r="J163" s="444"/>
      <c r="K163" s="443"/>
      <c r="L163" s="440"/>
      <c r="M163" s="442"/>
      <c r="N163" s="444"/>
      <c r="O163" s="445"/>
      <c r="Q163" s="409" t="str">
        <f t="shared" ref="Q163" si="80">IF(AND(ISBLANK(B163), ISBLANK(C163)), "X", "")</f>
        <v>X</v>
      </c>
    </row>
    <row r="164" spans="1:17" hidden="1" outlineLevel="1">
      <c r="A164" s="611"/>
      <c r="B164" s="616"/>
      <c r="C164" s="446" t="s">
        <v>307</v>
      </c>
      <c r="D164" s="453"/>
      <c r="E164" s="448"/>
      <c r="F164" s="453"/>
      <c r="G164" s="454"/>
      <c r="H164" s="436"/>
      <c r="I164" s="453"/>
      <c r="J164" s="454"/>
      <c r="K164" s="455"/>
      <c r="L164" s="453"/>
      <c r="M164" s="454"/>
      <c r="N164" s="454"/>
      <c r="O164" s="456"/>
    </row>
    <row r="165" spans="1:17" hidden="1" outlineLevel="1">
      <c r="A165" s="611"/>
      <c r="B165" s="438"/>
      <c r="C165" s="416"/>
      <c r="D165" s="426"/>
      <c r="E165" s="427"/>
      <c r="F165" s="426"/>
      <c r="G165" s="428"/>
      <c r="H165" s="427"/>
      <c r="I165" s="426"/>
      <c r="J165" s="428"/>
      <c r="K165" s="427"/>
      <c r="L165" s="426"/>
      <c r="M165" s="428"/>
      <c r="N165" s="428"/>
      <c r="O165" s="416"/>
    </row>
    <row r="166" spans="1:17" hidden="1" outlineLevel="1">
      <c r="A166" s="611">
        <v>46</v>
      </c>
      <c r="B166" s="615"/>
      <c r="C166" s="439"/>
      <c r="D166" s="440"/>
      <c r="E166" s="441"/>
      <c r="F166" s="440"/>
      <c r="G166" s="442"/>
      <c r="H166" s="443"/>
      <c r="I166" s="440"/>
      <c r="J166" s="444"/>
      <c r="K166" s="443"/>
      <c r="L166" s="440"/>
      <c r="M166" s="442"/>
      <c r="N166" s="444"/>
      <c r="O166" s="445"/>
      <c r="Q166" s="409" t="str">
        <f t="shared" ref="Q166" si="81">IF(AND(ISBLANK(B166), ISBLANK(C166)), "X", "")</f>
        <v>X</v>
      </c>
    </row>
    <row r="167" spans="1:17" hidden="1" outlineLevel="1">
      <c r="A167" s="611"/>
      <c r="B167" s="616"/>
      <c r="C167" s="446" t="s">
        <v>307</v>
      </c>
      <c r="D167" s="453"/>
      <c r="E167" s="448"/>
      <c r="F167" s="453"/>
      <c r="G167" s="454"/>
      <c r="H167" s="436"/>
      <c r="I167" s="453"/>
      <c r="J167" s="454"/>
      <c r="K167" s="455"/>
      <c r="L167" s="453"/>
      <c r="M167" s="454"/>
      <c r="N167" s="454"/>
      <c r="O167" s="456"/>
    </row>
    <row r="168" spans="1:17" hidden="1" outlineLevel="1">
      <c r="A168" s="611"/>
      <c r="B168" s="438"/>
      <c r="C168" s="416"/>
      <c r="D168" s="426"/>
      <c r="E168" s="427"/>
      <c r="F168" s="426"/>
      <c r="G168" s="428"/>
      <c r="H168" s="427"/>
      <c r="I168" s="426"/>
      <c r="J168" s="428"/>
      <c r="K168" s="427"/>
      <c r="L168" s="426"/>
      <c r="M168" s="428"/>
      <c r="N168" s="428"/>
      <c r="O168" s="416"/>
    </row>
    <row r="169" spans="1:17" hidden="1" outlineLevel="1">
      <c r="A169" s="611">
        <v>47</v>
      </c>
      <c r="B169" s="615"/>
      <c r="C169" s="439"/>
      <c r="D169" s="440"/>
      <c r="E169" s="441"/>
      <c r="F169" s="440"/>
      <c r="G169" s="442"/>
      <c r="H169" s="443"/>
      <c r="I169" s="440"/>
      <c r="J169" s="444"/>
      <c r="K169" s="443"/>
      <c r="L169" s="440"/>
      <c r="M169" s="442"/>
      <c r="N169" s="444"/>
      <c r="O169" s="445"/>
      <c r="Q169" s="409" t="str">
        <f t="shared" ref="Q169" si="82">IF(AND(ISBLANK(B169), ISBLANK(C169)), "X", "")</f>
        <v>X</v>
      </c>
    </row>
    <row r="170" spans="1:17" hidden="1" outlineLevel="1">
      <c r="A170" s="611"/>
      <c r="B170" s="616"/>
      <c r="C170" s="446" t="s">
        <v>307</v>
      </c>
      <c r="D170" s="453"/>
      <c r="E170" s="448"/>
      <c r="F170" s="453"/>
      <c r="G170" s="454"/>
      <c r="H170" s="436"/>
      <c r="I170" s="453"/>
      <c r="J170" s="454"/>
      <c r="K170" s="455"/>
      <c r="L170" s="453"/>
      <c r="M170" s="454"/>
      <c r="N170" s="454"/>
      <c r="O170" s="456"/>
    </row>
    <row r="171" spans="1:17" hidden="1" outlineLevel="1">
      <c r="A171" s="611"/>
      <c r="B171" s="438"/>
      <c r="C171" s="416"/>
      <c r="D171" s="426"/>
      <c r="E171" s="427"/>
      <c r="F171" s="426"/>
      <c r="G171" s="428"/>
      <c r="H171" s="427"/>
      <c r="I171" s="426"/>
      <c r="J171" s="428"/>
      <c r="K171" s="427"/>
      <c r="L171" s="426"/>
      <c r="M171" s="428"/>
      <c r="N171" s="428"/>
      <c r="O171" s="416"/>
    </row>
    <row r="172" spans="1:17" hidden="1" outlineLevel="1">
      <c r="A172" s="611">
        <v>48</v>
      </c>
      <c r="B172" s="615"/>
      <c r="C172" s="439"/>
      <c r="D172" s="440"/>
      <c r="E172" s="441"/>
      <c r="F172" s="440"/>
      <c r="G172" s="442"/>
      <c r="H172" s="443"/>
      <c r="I172" s="440"/>
      <c r="J172" s="444"/>
      <c r="K172" s="443"/>
      <c r="L172" s="440"/>
      <c r="M172" s="442"/>
      <c r="N172" s="444"/>
      <c r="O172" s="445"/>
      <c r="Q172" s="409" t="str">
        <f t="shared" ref="Q172" si="83">IF(AND(ISBLANK(B172), ISBLANK(C172)), "X", "")</f>
        <v>X</v>
      </c>
    </row>
    <row r="173" spans="1:17" hidden="1" outlineLevel="1">
      <c r="A173" s="611"/>
      <c r="B173" s="616"/>
      <c r="C173" s="446" t="s">
        <v>307</v>
      </c>
      <c r="D173" s="453"/>
      <c r="E173" s="448"/>
      <c r="F173" s="453"/>
      <c r="G173" s="454"/>
      <c r="H173" s="436"/>
      <c r="I173" s="453"/>
      <c r="J173" s="454"/>
      <c r="K173" s="455"/>
      <c r="L173" s="453"/>
      <c r="M173" s="454"/>
      <c r="N173" s="454"/>
      <c r="O173" s="456"/>
    </row>
    <row r="174" spans="1:17" hidden="1" outlineLevel="1">
      <c r="A174" s="611"/>
      <c r="B174" s="438"/>
      <c r="C174" s="416"/>
      <c r="D174" s="426"/>
      <c r="E174" s="427"/>
      <c r="F174" s="426"/>
      <c r="G174" s="428"/>
      <c r="H174" s="427"/>
      <c r="I174" s="426"/>
      <c r="J174" s="428"/>
      <c r="K174" s="427"/>
      <c r="L174" s="426"/>
      <c r="M174" s="428"/>
      <c r="N174" s="428"/>
      <c r="O174" s="416"/>
    </row>
    <row r="175" spans="1:17" hidden="1" outlineLevel="1">
      <c r="A175" s="611">
        <v>49</v>
      </c>
      <c r="B175" s="615"/>
      <c r="C175" s="439"/>
      <c r="D175" s="440"/>
      <c r="E175" s="441"/>
      <c r="F175" s="440"/>
      <c r="G175" s="442"/>
      <c r="H175" s="443"/>
      <c r="I175" s="440"/>
      <c r="J175" s="444"/>
      <c r="K175" s="443"/>
      <c r="L175" s="440"/>
      <c r="M175" s="442"/>
      <c r="N175" s="444"/>
      <c r="O175" s="445"/>
      <c r="Q175" s="409" t="str">
        <f t="shared" ref="Q175" si="84">IF(AND(ISBLANK(B175), ISBLANK(C175)), "X", "")</f>
        <v>X</v>
      </c>
    </row>
    <row r="176" spans="1:17" hidden="1" outlineLevel="1">
      <c r="A176" s="611"/>
      <c r="B176" s="616"/>
      <c r="C176" s="446" t="s">
        <v>307</v>
      </c>
      <c r="D176" s="453"/>
      <c r="E176" s="448"/>
      <c r="F176" s="453"/>
      <c r="G176" s="454"/>
      <c r="H176" s="436"/>
      <c r="I176" s="453"/>
      <c r="J176" s="454"/>
      <c r="K176" s="455"/>
      <c r="L176" s="453"/>
      <c r="M176" s="454"/>
      <c r="N176" s="454"/>
      <c r="O176" s="456"/>
    </row>
    <row r="177" spans="1:18" hidden="1" outlineLevel="1">
      <c r="A177" s="611"/>
      <c r="B177" s="438"/>
      <c r="C177" s="416"/>
      <c r="D177" s="426"/>
      <c r="E177" s="427"/>
      <c r="F177" s="426"/>
      <c r="G177" s="428"/>
      <c r="H177" s="427"/>
      <c r="I177" s="426"/>
      <c r="J177" s="428"/>
      <c r="K177" s="427"/>
      <c r="L177" s="426"/>
      <c r="M177" s="428"/>
      <c r="N177" s="428"/>
      <c r="O177" s="416"/>
    </row>
    <row r="178" spans="1:18" hidden="1" outlineLevel="1">
      <c r="A178" s="611">
        <v>50</v>
      </c>
      <c r="B178" s="615"/>
      <c r="C178" s="439"/>
      <c r="D178" s="440"/>
      <c r="E178" s="441"/>
      <c r="F178" s="440"/>
      <c r="G178" s="442"/>
      <c r="H178" s="443"/>
      <c r="I178" s="440"/>
      <c r="J178" s="444"/>
      <c r="K178" s="443"/>
      <c r="L178" s="440"/>
      <c r="M178" s="442"/>
      <c r="N178" s="444"/>
      <c r="O178" s="445"/>
      <c r="Q178" s="409" t="str">
        <f t="shared" ref="Q178" si="85">IF(AND(ISBLANK(B178), ISBLANK(C178)), "X", "")</f>
        <v>X</v>
      </c>
    </row>
    <row r="179" spans="1:18" hidden="1" outlineLevel="1">
      <c r="A179" s="611"/>
      <c r="B179" s="616"/>
      <c r="C179" s="446" t="s">
        <v>307</v>
      </c>
      <c r="D179" s="453"/>
      <c r="E179" s="448"/>
      <c r="F179" s="453"/>
      <c r="G179" s="454"/>
      <c r="H179" s="436"/>
      <c r="I179" s="453"/>
      <c r="J179" s="454"/>
      <c r="K179" s="455"/>
      <c r="L179" s="453"/>
      <c r="M179" s="454"/>
      <c r="N179" s="454"/>
      <c r="O179" s="456"/>
    </row>
    <row r="180" spans="1:18" hidden="1" outlineLevel="1">
      <c r="A180" s="611"/>
      <c r="B180" s="438"/>
      <c r="C180" s="416"/>
      <c r="D180" s="426"/>
      <c r="E180" s="427"/>
      <c r="F180" s="426"/>
      <c r="G180" s="428"/>
      <c r="H180" s="427"/>
      <c r="I180" s="426"/>
      <c r="J180" s="428"/>
      <c r="K180" s="427"/>
      <c r="L180" s="426"/>
      <c r="M180" s="428"/>
      <c r="N180" s="428"/>
      <c r="O180" s="416"/>
    </row>
    <row r="181" spans="1:18" hidden="1" outlineLevel="1">
      <c r="A181" s="611">
        <v>51</v>
      </c>
      <c r="B181" s="615"/>
      <c r="C181" s="439"/>
      <c r="D181" s="440"/>
      <c r="E181" s="441"/>
      <c r="F181" s="440"/>
      <c r="G181" s="442"/>
      <c r="H181" s="443"/>
      <c r="I181" s="440"/>
      <c r="J181" s="444"/>
      <c r="K181" s="443"/>
      <c r="L181" s="440"/>
      <c r="M181" s="442"/>
      <c r="N181" s="444"/>
      <c r="O181" s="445"/>
      <c r="Q181" s="409" t="str">
        <f t="shared" ref="Q181" si="86">IF(AND(ISBLANK(B181), ISBLANK(C181)), "X", "")</f>
        <v>X</v>
      </c>
    </row>
    <row r="182" spans="1:18" hidden="1" outlineLevel="1">
      <c r="A182" s="611"/>
      <c r="B182" s="616"/>
      <c r="C182" s="446" t="s">
        <v>307</v>
      </c>
      <c r="D182" s="453"/>
      <c r="E182" s="448"/>
      <c r="F182" s="453"/>
      <c r="G182" s="454"/>
      <c r="H182" s="436"/>
      <c r="I182" s="453"/>
      <c r="J182" s="454"/>
      <c r="K182" s="455"/>
      <c r="L182" s="453"/>
      <c r="M182" s="454"/>
      <c r="N182" s="454"/>
      <c r="O182" s="456"/>
    </row>
    <row r="183" spans="1:18" hidden="1" outlineLevel="1">
      <c r="A183" s="611"/>
      <c r="B183" s="438"/>
      <c r="C183" s="416"/>
      <c r="D183" s="426"/>
      <c r="E183" s="427"/>
      <c r="F183" s="426"/>
      <c r="G183" s="428"/>
      <c r="H183" s="427"/>
      <c r="I183" s="426"/>
      <c r="J183" s="428"/>
      <c r="K183" s="427"/>
      <c r="L183" s="426"/>
      <c r="M183" s="428"/>
      <c r="N183" s="428"/>
      <c r="O183" s="416"/>
    </row>
    <row r="184" spans="1:18" hidden="1" outlineLevel="1">
      <c r="A184" s="611">
        <v>52</v>
      </c>
      <c r="B184" s="615"/>
      <c r="C184" s="439"/>
      <c r="D184" s="440"/>
      <c r="E184" s="441"/>
      <c r="F184" s="440"/>
      <c r="G184" s="442"/>
      <c r="H184" s="443"/>
      <c r="I184" s="440"/>
      <c r="J184" s="444"/>
      <c r="K184" s="443"/>
      <c r="L184" s="440"/>
      <c r="M184" s="442"/>
      <c r="N184" s="444"/>
      <c r="O184" s="445"/>
      <c r="Q184" s="409" t="str">
        <f t="shared" ref="Q184" si="87">IF(AND(ISBLANK(B184), ISBLANK(C184)), "X", "")</f>
        <v>X</v>
      </c>
    </row>
    <row r="185" spans="1:18" hidden="1" outlineLevel="1">
      <c r="A185" s="611"/>
      <c r="B185" s="616"/>
      <c r="C185" s="446" t="s">
        <v>307</v>
      </c>
      <c r="D185" s="453"/>
      <c r="E185" s="448"/>
      <c r="F185" s="453"/>
      <c r="G185" s="454"/>
      <c r="H185" s="436"/>
      <c r="I185" s="453"/>
      <c r="J185" s="454"/>
      <c r="K185" s="455"/>
      <c r="L185" s="453"/>
      <c r="M185" s="454"/>
      <c r="N185" s="454"/>
      <c r="O185" s="456"/>
    </row>
    <row r="186" spans="1:18" hidden="1" outlineLevel="1">
      <c r="A186" s="611"/>
      <c r="B186" s="438"/>
      <c r="C186" s="416"/>
      <c r="D186" s="426"/>
      <c r="E186" s="427"/>
      <c r="F186" s="426"/>
      <c r="G186" s="428"/>
      <c r="H186" s="427"/>
      <c r="I186" s="426"/>
      <c r="J186" s="428"/>
      <c r="K186" s="427"/>
      <c r="L186" s="426"/>
      <c r="M186" s="428"/>
      <c r="N186" s="428"/>
      <c r="O186" s="416"/>
    </row>
    <row r="187" spans="1:18" hidden="1" outlineLevel="1">
      <c r="A187" s="611">
        <v>53</v>
      </c>
      <c r="B187" s="615"/>
      <c r="C187" s="439"/>
      <c r="D187" s="440"/>
      <c r="E187" s="441"/>
      <c r="F187" s="440"/>
      <c r="G187" s="442"/>
      <c r="H187" s="443"/>
      <c r="I187" s="440"/>
      <c r="J187" s="444"/>
      <c r="K187" s="443"/>
      <c r="L187" s="440"/>
      <c r="M187" s="442"/>
      <c r="N187" s="444"/>
      <c r="O187" s="445"/>
      <c r="Q187" s="409" t="str">
        <f t="shared" ref="Q187" si="88">IF(AND(ISBLANK(B187), ISBLANK(C187)), "X", "")</f>
        <v>X</v>
      </c>
    </row>
    <row r="188" spans="1:18" hidden="1" outlineLevel="1">
      <c r="A188" s="611"/>
      <c r="B188" s="616"/>
      <c r="C188" s="446" t="s">
        <v>307</v>
      </c>
      <c r="D188" s="453"/>
      <c r="E188" s="448"/>
      <c r="F188" s="453"/>
      <c r="G188" s="454"/>
      <c r="H188" s="436"/>
      <c r="I188" s="453"/>
      <c r="J188" s="454"/>
      <c r="K188" s="455"/>
      <c r="L188" s="453"/>
      <c r="M188" s="454"/>
      <c r="N188" s="454"/>
      <c r="O188" s="456"/>
    </row>
    <row r="189" spans="1:18" hidden="1" outlineLevel="1">
      <c r="A189" s="611"/>
      <c r="B189" s="438"/>
      <c r="C189" s="416"/>
      <c r="D189" s="426"/>
      <c r="E189" s="427"/>
      <c r="F189" s="426"/>
      <c r="G189" s="428"/>
      <c r="H189" s="427"/>
      <c r="I189" s="426"/>
      <c r="J189" s="428"/>
      <c r="K189" s="427"/>
      <c r="L189" s="426"/>
      <c r="M189" s="428"/>
      <c r="N189" s="428"/>
      <c r="O189" s="416"/>
      <c r="R189" s="409" t="s">
        <v>310</v>
      </c>
    </row>
    <row r="190" spans="1:18" hidden="1" outlineLevel="1">
      <c r="A190" s="611">
        <v>54</v>
      </c>
      <c r="B190" s="615"/>
      <c r="C190" s="439"/>
      <c r="D190" s="440"/>
      <c r="E190" s="441"/>
      <c r="F190" s="440"/>
      <c r="G190" s="442"/>
      <c r="H190" s="443"/>
      <c r="I190" s="440"/>
      <c r="J190" s="444"/>
      <c r="K190" s="443"/>
      <c r="L190" s="440"/>
      <c r="M190" s="442"/>
      <c r="N190" s="444"/>
      <c r="O190" s="445"/>
      <c r="Q190" s="409" t="str">
        <f t="shared" ref="Q190" si="89">IF(AND(ISBLANK(B190), ISBLANK(C190)), "X", "")</f>
        <v>X</v>
      </c>
    </row>
    <row r="191" spans="1:18" hidden="1" outlineLevel="1">
      <c r="A191" s="611"/>
      <c r="B191" s="616"/>
      <c r="C191" s="446" t="s">
        <v>307</v>
      </c>
      <c r="D191" s="453"/>
      <c r="E191" s="448"/>
      <c r="F191" s="453"/>
      <c r="G191" s="454"/>
      <c r="H191" s="436"/>
      <c r="I191" s="453"/>
      <c r="J191" s="454"/>
      <c r="K191" s="455"/>
      <c r="L191" s="453"/>
      <c r="M191" s="454"/>
      <c r="N191" s="454"/>
      <c r="O191" s="456"/>
    </row>
    <row r="192" spans="1:18" hidden="1" outlineLevel="1">
      <c r="A192" s="611"/>
      <c r="B192" s="438"/>
      <c r="C192" s="416"/>
      <c r="D192" s="426"/>
      <c r="E192" s="427"/>
      <c r="F192" s="426"/>
      <c r="G192" s="428"/>
      <c r="H192" s="427"/>
      <c r="I192" s="426"/>
      <c r="J192" s="428"/>
      <c r="K192" s="427"/>
      <c r="L192" s="426"/>
      <c r="M192" s="428"/>
      <c r="N192" s="428"/>
      <c r="O192" s="416"/>
    </row>
    <row r="193" spans="1:17" hidden="1" outlineLevel="1">
      <c r="A193" s="611">
        <v>55</v>
      </c>
      <c r="B193" s="615"/>
      <c r="C193" s="439"/>
      <c r="D193" s="440"/>
      <c r="E193" s="441"/>
      <c r="F193" s="440"/>
      <c r="G193" s="442"/>
      <c r="H193" s="443"/>
      <c r="I193" s="440"/>
      <c r="J193" s="444"/>
      <c r="K193" s="443"/>
      <c r="L193" s="440"/>
      <c r="M193" s="442"/>
      <c r="N193" s="444"/>
      <c r="O193" s="445"/>
      <c r="Q193" s="409" t="str">
        <f t="shared" ref="Q193" si="90">IF(AND(ISBLANK(B193), ISBLANK(C193)), "X", "")</f>
        <v>X</v>
      </c>
    </row>
    <row r="194" spans="1:17" hidden="1" outlineLevel="1">
      <c r="A194" s="611"/>
      <c r="B194" s="616"/>
      <c r="C194" s="446" t="s">
        <v>307</v>
      </c>
      <c r="D194" s="453"/>
      <c r="E194" s="448"/>
      <c r="F194" s="453"/>
      <c r="G194" s="454"/>
      <c r="H194" s="436"/>
      <c r="I194" s="453"/>
      <c r="J194" s="454"/>
      <c r="K194" s="455"/>
      <c r="L194" s="453"/>
      <c r="M194" s="454"/>
      <c r="N194" s="454"/>
      <c r="O194" s="456"/>
    </row>
    <row r="195" spans="1:17" hidden="1" outlineLevel="1">
      <c r="A195" s="611"/>
      <c r="B195" s="438"/>
      <c r="C195" s="416"/>
      <c r="D195" s="426"/>
      <c r="E195" s="427"/>
      <c r="F195" s="426"/>
      <c r="G195" s="428"/>
      <c r="H195" s="427"/>
      <c r="I195" s="426"/>
      <c r="J195" s="428"/>
      <c r="K195" s="427"/>
      <c r="L195" s="426"/>
      <c r="M195" s="428"/>
      <c r="N195" s="428"/>
      <c r="O195" s="416"/>
    </row>
    <row r="196" spans="1:17" hidden="1" outlineLevel="1">
      <c r="A196" s="611">
        <v>56</v>
      </c>
      <c r="B196" s="615"/>
      <c r="C196" s="439"/>
      <c r="D196" s="440"/>
      <c r="E196" s="441"/>
      <c r="F196" s="440"/>
      <c r="G196" s="442"/>
      <c r="H196" s="443"/>
      <c r="I196" s="440"/>
      <c r="J196" s="444"/>
      <c r="K196" s="443"/>
      <c r="L196" s="440"/>
      <c r="M196" s="442"/>
      <c r="N196" s="444"/>
      <c r="O196" s="445"/>
      <c r="Q196" s="409" t="str">
        <f t="shared" ref="Q196" si="91">IF(AND(ISBLANK(B196), ISBLANK(C196)), "X", "")</f>
        <v>X</v>
      </c>
    </row>
    <row r="197" spans="1:17" hidden="1" outlineLevel="1">
      <c r="A197" s="611"/>
      <c r="B197" s="616"/>
      <c r="C197" s="446" t="s">
        <v>307</v>
      </c>
      <c r="D197" s="453"/>
      <c r="E197" s="448"/>
      <c r="F197" s="453"/>
      <c r="G197" s="454"/>
      <c r="H197" s="436"/>
      <c r="I197" s="453"/>
      <c r="J197" s="454"/>
      <c r="K197" s="455"/>
      <c r="L197" s="453"/>
      <c r="M197" s="454"/>
      <c r="N197" s="454"/>
      <c r="O197" s="456"/>
    </row>
    <row r="198" spans="1:17" hidden="1" outlineLevel="1">
      <c r="A198" s="611"/>
      <c r="B198" s="438"/>
      <c r="C198" s="416"/>
      <c r="D198" s="426"/>
      <c r="E198" s="427"/>
      <c r="F198" s="426"/>
      <c r="G198" s="428"/>
      <c r="H198" s="427"/>
      <c r="I198" s="426"/>
      <c r="J198" s="428"/>
      <c r="K198" s="427"/>
      <c r="L198" s="426"/>
      <c r="M198" s="428"/>
      <c r="N198" s="428"/>
      <c r="O198" s="416"/>
    </row>
    <row r="199" spans="1:17" hidden="1" outlineLevel="1">
      <c r="A199" s="611">
        <v>57</v>
      </c>
      <c r="B199" s="615"/>
      <c r="C199" s="439"/>
      <c r="D199" s="440"/>
      <c r="E199" s="441"/>
      <c r="F199" s="440"/>
      <c r="G199" s="442"/>
      <c r="H199" s="443"/>
      <c r="I199" s="440"/>
      <c r="J199" s="444"/>
      <c r="K199" s="443"/>
      <c r="L199" s="440"/>
      <c r="M199" s="442"/>
      <c r="N199" s="444"/>
      <c r="O199" s="445"/>
      <c r="Q199" s="409" t="str">
        <f t="shared" ref="Q199" si="92">IF(AND(ISBLANK(B199), ISBLANK(C199)), "X", "")</f>
        <v>X</v>
      </c>
    </row>
    <row r="200" spans="1:17" hidden="1" outlineLevel="1">
      <c r="A200" s="611"/>
      <c r="B200" s="616"/>
      <c r="C200" s="446" t="s">
        <v>307</v>
      </c>
      <c r="D200" s="453"/>
      <c r="E200" s="448"/>
      <c r="F200" s="453"/>
      <c r="G200" s="454"/>
      <c r="H200" s="436"/>
      <c r="I200" s="453"/>
      <c r="J200" s="454"/>
      <c r="K200" s="455"/>
      <c r="L200" s="453"/>
      <c r="M200" s="454"/>
      <c r="N200" s="454"/>
      <c r="O200" s="456"/>
    </row>
    <row r="201" spans="1:17" hidden="1" outlineLevel="1">
      <c r="A201" s="611"/>
      <c r="B201" s="438"/>
      <c r="C201" s="416"/>
      <c r="D201" s="426"/>
      <c r="E201" s="427"/>
      <c r="F201" s="426"/>
      <c r="G201" s="428"/>
      <c r="H201" s="427"/>
      <c r="I201" s="426"/>
      <c r="J201" s="428"/>
      <c r="K201" s="427"/>
      <c r="L201" s="426"/>
      <c r="M201" s="428"/>
      <c r="N201" s="428"/>
      <c r="O201" s="416"/>
    </row>
    <row r="202" spans="1:17" hidden="1" outlineLevel="1">
      <c r="A202" s="611">
        <v>58</v>
      </c>
      <c r="B202" s="615"/>
      <c r="C202" s="439"/>
      <c r="D202" s="440"/>
      <c r="E202" s="441"/>
      <c r="F202" s="440"/>
      <c r="G202" s="442"/>
      <c r="H202" s="443"/>
      <c r="I202" s="440"/>
      <c r="J202" s="444"/>
      <c r="K202" s="443"/>
      <c r="L202" s="440"/>
      <c r="M202" s="442"/>
      <c r="N202" s="444"/>
      <c r="O202" s="445"/>
      <c r="Q202" s="409" t="str">
        <f t="shared" ref="Q202" si="93">IF(AND(ISBLANK(B202), ISBLANK(C202)), "X", "")</f>
        <v>X</v>
      </c>
    </row>
    <row r="203" spans="1:17" hidden="1" outlineLevel="1">
      <c r="A203" s="611"/>
      <c r="B203" s="616"/>
      <c r="C203" s="446" t="s">
        <v>307</v>
      </c>
      <c r="D203" s="453"/>
      <c r="E203" s="448"/>
      <c r="F203" s="453"/>
      <c r="G203" s="454"/>
      <c r="H203" s="436"/>
      <c r="I203" s="453"/>
      <c r="J203" s="454"/>
      <c r="K203" s="455"/>
      <c r="L203" s="453"/>
      <c r="M203" s="454"/>
      <c r="N203" s="454"/>
      <c r="O203" s="456"/>
    </row>
    <row r="204" spans="1:17" hidden="1" outlineLevel="1">
      <c r="A204" s="611"/>
      <c r="B204" s="438"/>
      <c r="C204" s="416"/>
      <c r="D204" s="426"/>
      <c r="E204" s="427"/>
      <c r="F204" s="426"/>
      <c r="G204" s="428"/>
      <c r="H204" s="427"/>
      <c r="I204" s="426"/>
      <c r="J204" s="428"/>
      <c r="K204" s="427"/>
      <c r="L204" s="426"/>
      <c r="M204" s="428"/>
      <c r="N204" s="428"/>
      <c r="O204" s="416"/>
    </row>
    <row r="205" spans="1:17" hidden="1" outlineLevel="1">
      <c r="A205" s="611">
        <v>59</v>
      </c>
      <c r="B205" s="615"/>
      <c r="C205" s="439"/>
      <c r="D205" s="440"/>
      <c r="E205" s="441"/>
      <c r="F205" s="440"/>
      <c r="G205" s="442"/>
      <c r="H205" s="443"/>
      <c r="I205" s="440"/>
      <c r="J205" s="444"/>
      <c r="K205" s="443"/>
      <c r="L205" s="440"/>
      <c r="M205" s="442"/>
      <c r="N205" s="444"/>
      <c r="O205" s="445"/>
      <c r="Q205" s="409" t="str">
        <f t="shared" ref="Q205" si="94">IF(AND(ISBLANK(B205), ISBLANK(C205)), "X", "")</f>
        <v>X</v>
      </c>
    </row>
    <row r="206" spans="1:17" hidden="1" outlineLevel="1">
      <c r="A206" s="611"/>
      <c r="B206" s="616"/>
      <c r="C206" s="446" t="s">
        <v>307</v>
      </c>
      <c r="D206" s="453"/>
      <c r="E206" s="448"/>
      <c r="F206" s="453"/>
      <c r="G206" s="454"/>
      <c r="H206" s="436"/>
      <c r="I206" s="453"/>
      <c r="J206" s="454"/>
      <c r="K206" s="455"/>
      <c r="L206" s="453"/>
      <c r="M206" s="454"/>
      <c r="N206" s="454"/>
      <c r="O206" s="456"/>
    </row>
    <row r="207" spans="1:17" hidden="1" outlineLevel="1">
      <c r="A207" s="611"/>
      <c r="B207" s="438"/>
      <c r="C207" s="416"/>
      <c r="D207" s="426"/>
      <c r="E207" s="427"/>
      <c r="F207" s="426"/>
      <c r="G207" s="428"/>
      <c r="H207" s="427"/>
      <c r="I207" s="426"/>
      <c r="J207" s="428"/>
      <c r="K207" s="427"/>
      <c r="L207" s="426"/>
      <c r="M207" s="428"/>
      <c r="N207" s="428"/>
      <c r="O207" s="416"/>
    </row>
    <row r="208" spans="1:17" hidden="1" outlineLevel="1">
      <c r="A208" s="618">
        <v>60</v>
      </c>
      <c r="B208" s="615"/>
      <c r="C208" s="439"/>
      <c r="D208" s="440"/>
      <c r="E208" s="441"/>
      <c r="F208" s="440"/>
      <c r="G208" s="442"/>
      <c r="H208" s="443"/>
      <c r="I208" s="440"/>
      <c r="J208" s="444"/>
      <c r="K208" s="443"/>
      <c r="L208" s="440"/>
      <c r="M208" s="442"/>
      <c r="N208" s="444"/>
      <c r="O208" s="445"/>
      <c r="Q208" s="409" t="str">
        <f t="shared" ref="Q208" si="95">IF(AND(ISBLANK(B208), ISBLANK(C208)), "X", "")</f>
        <v>X</v>
      </c>
    </row>
    <row r="209" spans="1:18" hidden="1" outlineLevel="1">
      <c r="A209" s="618"/>
      <c r="B209" s="616"/>
      <c r="C209" s="446" t="s">
        <v>307</v>
      </c>
      <c r="D209" s="453"/>
      <c r="E209" s="448"/>
      <c r="F209" s="453"/>
      <c r="G209" s="454"/>
      <c r="H209" s="436"/>
      <c r="I209" s="453"/>
      <c r="J209" s="454"/>
      <c r="K209" s="455"/>
      <c r="L209" s="453"/>
      <c r="M209" s="454"/>
      <c r="N209" s="454"/>
      <c r="O209" s="456"/>
    </row>
    <row r="210" spans="1:18" hidden="1" outlineLevel="1">
      <c r="A210" s="490"/>
      <c r="B210" s="491"/>
      <c r="C210" s="446"/>
      <c r="D210" s="453"/>
      <c r="E210" s="448"/>
      <c r="F210" s="453"/>
      <c r="G210" s="454"/>
      <c r="H210" s="436"/>
      <c r="I210" s="453"/>
      <c r="J210" s="454"/>
      <c r="K210" s="455"/>
      <c r="L210" s="453"/>
      <c r="M210" s="454"/>
      <c r="N210" s="454"/>
      <c r="O210" s="456"/>
    </row>
    <row r="211" spans="1:18" ht="13.5" collapsed="1" thickBot="1">
      <c r="A211" s="432"/>
      <c r="B211" s="457"/>
      <c r="C211" s="457"/>
      <c r="D211" s="458"/>
      <c r="E211" s="459"/>
      <c r="F211" s="458"/>
      <c r="G211" s="460"/>
      <c r="H211" s="459"/>
      <c r="I211" s="458"/>
      <c r="J211" s="460"/>
      <c r="K211" s="459"/>
      <c r="L211" s="458"/>
      <c r="M211" s="460"/>
      <c r="N211" s="460"/>
      <c r="O211" s="461"/>
    </row>
    <row r="212" spans="1:18" ht="13.5" thickTop="1">
      <c r="R212" s="409" t="s">
        <v>311</v>
      </c>
    </row>
    <row r="216" spans="1:18">
      <c r="B216" s="470"/>
      <c r="C216" s="470"/>
    </row>
    <row r="218" spans="1:18">
      <c r="B218" s="471"/>
      <c r="C218" s="471"/>
    </row>
    <row r="219" spans="1:18">
      <c r="B219" s="617"/>
      <c r="C219" s="617"/>
      <c r="D219" s="617"/>
      <c r="E219" s="617"/>
      <c r="F219" s="617"/>
      <c r="G219" s="617"/>
      <c r="H219" s="617"/>
      <c r="I219" s="617"/>
      <c r="J219" s="617"/>
      <c r="K219" s="617"/>
      <c r="L219" s="617"/>
      <c r="M219" s="617"/>
      <c r="N219" s="617"/>
      <c r="O219" s="617"/>
    </row>
  </sheetData>
  <mergeCells count="129">
    <mergeCell ref="S53:U53"/>
    <mergeCell ref="B219:O219"/>
    <mergeCell ref="A202:A204"/>
    <mergeCell ref="B202:B203"/>
    <mergeCell ref="A205:A207"/>
    <mergeCell ref="B205:B206"/>
    <mergeCell ref="B208:B209"/>
    <mergeCell ref="A208:A209"/>
    <mergeCell ref="A193:A195"/>
    <mergeCell ref="B193:B194"/>
    <mergeCell ref="A196:A198"/>
    <mergeCell ref="B196:B197"/>
    <mergeCell ref="A199:A201"/>
    <mergeCell ref="B199:B200"/>
    <mergeCell ref="A184:A186"/>
    <mergeCell ref="B184:B185"/>
    <mergeCell ref="A187:A189"/>
    <mergeCell ref="B187:B188"/>
    <mergeCell ref="A190:A192"/>
    <mergeCell ref="B190:B191"/>
    <mergeCell ref="A175:A177"/>
    <mergeCell ref="B175:B176"/>
    <mergeCell ref="A178:A180"/>
    <mergeCell ref="B178:B179"/>
    <mergeCell ref="A181:A183"/>
    <mergeCell ref="B181:B182"/>
    <mergeCell ref="A166:A168"/>
    <mergeCell ref="B166:B167"/>
    <mergeCell ref="A169:A171"/>
    <mergeCell ref="B169:B170"/>
    <mergeCell ref="A172:A174"/>
    <mergeCell ref="B172:B173"/>
    <mergeCell ref="A157:A159"/>
    <mergeCell ref="B157:B158"/>
    <mergeCell ref="A160:A162"/>
    <mergeCell ref="B160:B161"/>
    <mergeCell ref="A163:A165"/>
    <mergeCell ref="B163:B164"/>
    <mergeCell ref="A148:A150"/>
    <mergeCell ref="B148:B149"/>
    <mergeCell ref="A151:A153"/>
    <mergeCell ref="B151:B152"/>
    <mergeCell ref="A154:A156"/>
    <mergeCell ref="B154:B155"/>
    <mergeCell ref="A139:A141"/>
    <mergeCell ref="B139:B140"/>
    <mergeCell ref="A142:A144"/>
    <mergeCell ref="B142:B143"/>
    <mergeCell ref="A145:A147"/>
    <mergeCell ref="B145:B146"/>
    <mergeCell ref="A130:A132"/>
    <mergeCell ref="B130:B131"/>
    <mergeCell ref="A133:A135"/>
    <mergeCell ref="B133:B134"/>
    <mergeCell ref="A136:A138"/>
    <mergeCell ref="B136:B137"/>
    <mergeCell ref="A121:A123"/>
    <mergeCell ref="B121:B122"/>
    <mergeCell ref="A124:A126"/>
    <mergeCell ref="B124:B125"/>
    <mergeCell ref="A127:A129"/>
    <mergeCell ref="B127:B128"/>
    <mergeCell ref="A111:A113"/>
    <mergeCell ref="B111:B112"/>
    <mergeCell ref="A115:A117"/>
    <mergeCell ref="B115:B116"/>
    <mergeCell ref="A118:A120"/>
    <mergeCell ref="B118:B119"/>
    <mergeCell ref="A99:A101"/>
    <mergeCell ref="B99:B100"/>
    <mergeCell ref="A103:A105"/>
    <mergeCell ref="B103:B104"/>
    <mergeCell ref="A107:A109"/>
    <mergeCell ref="B107:B108"/>
    <mergeCell ref="A87:A89"/>
    <mergeCell ref="B87:B88"/>
    <mergeCell ref="A91:A93"/>
    <mergeCell ref="B91:B92"/>
    <mergeCell ref="A95:A97"/>
    <mergeCell ref="B95:B96"/>
    <mergeCell ref="A77:A79"/>
    <mergeCell ref="B77:B78"/>
    <mergeCell ref="A80:A82"/>
    <mergeCell ref="B80:B81"/>
    <mergeCell ref="A83:A85"/>
    <mergeCell ref="B83:B84"/>
    <mergeCell ref="A71:A73"/>
    <mergeCell ref="B71:B72"/>
    <mergeCell ref="A74:A76"/>
    <mergeCell ref="B74:B75"/>
    <mergeCell ref="A59:A61"/>
    <mergeCell ref="B59:B60"/>
    <mergeCell ref="A62:A64"/>
    <mergeCell ref="B62:B63"/>
    <mergeCell ref="A65:A67"/>
    <mergeCell ref="B65:B66"/>
    <mergeCell ref="B56:B57"/>
    <mergeCell ref="A41:A43"/>
    <mergeCell ref="B41:B42"/>
    <mergeCell ref="A44:A46"/>
    <mergeCell ref="B44:B45"/>
    <mergeCell ref="A47:A49"/>
    <mergeCell ref="B47:B48"/>
    <mergeCell ref="A68:A70"/>
    <mergeCell ref="B68:B69"/>
    <mergeCell ref="B15:O15"/>
    <mergeCell ref="B16:O16"/>
    <mergeCell ref="D18:E18"/>
    <mergeCell ref="F18:H18"/>
    <mergeCell ref="I18:K18"/>
    <mergeCell ref="L18:O18"/>
    <mergeCell ref="S62:U63"/>
    <mergeCell ref="A32:A34"/>
    <mergeCell ref="B32:B33"/>
    <mergeCell ref="A35:A37"/>
    <mergeCell ref="B35:B36"/>
    <mergeCell ref="A38:A40"/>
    <mergeCell ref="B38:B39"/>
    <mergeCell ref="A23:A25"/>
    <mergeCell ref="B23:B24"/>
    <mergeCell ref="A26:A28"/>
    <mergeCell ref="B26:B27"/>
    <mergeCell ref="A29:A31"/>
    <mergeCell ref="B29:B30"/>
    <mergeCell ref="A50:A52"/>
    <mergeCell ref="B50:B51"/>
    <mergeCell ref="A53:A55"/>
    <mergeCell ref="B53:B54"/>
    <mergeCell ref="A56:A58"/>
  </mergeCells>
  <pageMargins left="0.31496062992125984" right="0.31496062992125984" top="0.55118110236220474" bottom="0.55118110236220474" header="0.31496062992125984" footer="0.31496062992125984"/>
  <pageSetup paperSize="5" scale="87" orientation="landscape" r:id="rId1"/>
  <headerFooter>
    <oddFooter>&amp;L&amp;D&amp;R&amp;Z&amp;F</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
  <sheetViews>
    <sheetView workbookViewId="0">
      <selection activeCell="Q50" sqref="Q50"/>
    </sheetView>
  </sheetViews>
  <sheetFormatPr defaultRowHeight="12.7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F59"/>
  <sheetViews>
    <sheetView workbookViewId="0">
      <selection activeCell="I42" sqref="I42"/>
    </sheetView>
  </sheetViews>
  <sheetFormatPr defaultRowHeight="12.75"/>
  <cols>
    <col min="2" max="2" width="45.42578125" customWidth="1"/>
    <col min="3" max="3" width="18.85546875" customWidth="1"/>
    <col min="6" max="6" width="10.28515625" customWidth="1"/>
  </cols>
  <sheetData>
    <row r="1" spans="2:6">
      <c r="B1" s="404" t="s">
        <v>289</v>
      </c>
      <c r="C1" s="405"/>
      <c r="D1" s="405"/>
      <c r="E1" s="405"/>
      <c r="F1" s="405"/>
    </row>
    <row r="4" spans="2:6">
      <c r="B4" s="17" t="s">
        <v>7</v>
      </c>
    </row>
    <row r="5" spans="2:6">
      <c r="B5" s="5" t="s">
        <v>100</v>
      </c>
      <c r="C5" s="397">
        <v>198656.29629018123</v>
      </c>
    </row>
    <row r="6" spans="2:6">
      <c r="B6" s="5" t="s">
        <v>101</v>
      </c>
      <c r="C6" s="397">
        <v>-94803.272259222926</v>
      </c>
    </row>
    <row r="7" spans="2:6">
      <c r="B7" s="20" t="s">
        <v>85</v>
      </c>
      <c r="C7" s="237"/>
    </row>
    <row r="8" spans="2:6">
      <c r="B8" s="5" t="s">
        <v>61</v>
      </c>
      <c r="C8" s="397">
        <v>13233.831952052396</v>
      </c>
    </row>
    <row r="9" spans="2:6">
      <c r="B9" s="5" t="s">
        <v>62</v>
      </c>
      <c r="C9" s="397">
        <v>112752.9316513653</v>
      </c>
    </row>
    <row r="10" spans="2:6">
      <c r="B10" s="5" t="s">
        <v>63</v>
      </c>
      <c r="C10" s="398">
        <v>9.3700000000000006E-2</v>
      </c>
    </row>
    <row r="11" spans="2:6">
      <c r="B11" s="5"/>
      <c r="C11" s="230"/>
    </row>
    <row r="12" spans="2:6">
      <c r="B12" s="23" t="s">
        <v>47</v>
      </c>
      <c r="C12" s="230"/>
      <c r="E12" s="406"/>
    </row>
    <row r="13" spans="2:6">
      <c r="B13" s="395" t="s">
        <v>24</v>
      </c>
      <c r="C13" s="230"/>
      <c r="E13" s="406"/>
      <c r="F13" s="408" t="s">
        <v>288</v>
      </c>
    </row>
    <row r="14" spans="2:6">
      <c r="B14" s="31" t="s">
        <v>113</v>
      </c>
      <c r="C14" s="399">
        <v>22904.47944886141</v>
      </c>
      <c r="E14" s="406"/>
      <c r="F14" s="407">
        <f>C15-C14</f>
        <v>836.05094508668844</v>
      </c>
    </row>
    <row r="15" spans="2:6">
      <c r="B15" s="5" t="s">
        <v>109</v>
      </c>
      <c r="C15" s="399">
        <v>23740.530393948098</v>
      </c>
      <c r="E15" s="406"/>
    </row>
    <row r="16" spans="2:6">
      <c r="B16" s="20" t="s">
        <v>86</v>
      </c>
      <c r="C16" s="230"/>
      <c r="E16" s="406"/>
    </row>
    <row r="17" spans="2:5">
      <c r="B17" s="5" t="s">
        <v>68</v>
      </c>
      <c r="C17" s="397">
        <v>786.21539332765929</v>
      </c>
      <c r="E17" s="406"/>
    </row>
    <row r="18" spans="2:5">
      <c r="B18" s="5" t="s">
        <v>69</v>
      </c>
      <c r="C18" s="397">
        <v>304.56092823034106</v>
      </c>
      <c r="E18" s="406"/>
    </row>
    <row r="19" spans="2:5">
      <c r="B19" s="5" t="s">
        <v>70</v>
      </c>
      <c r="C19" s="397">
        <v>170.87356483413367</v>
      </c>
      <c r="E19" s="406"/>
    </row>
    <row r="20" spans="2:5">
      <c r="B20" s="5" t="s">
        <v>71</v>
      </c>
      <c r="C20" s="397">
        <v>128</v>
      </c>
      <c r="E20" s="406"/>
    </row>
    <row r="21" spans="2:5">
      <c r="B21" s="5"/>
      <c r="C21" s="400"/>
      <c r="E21" s="406"/>
    </row>
    <row r="22" spans="2:5">
      <c r="B22" s="5" t="s">
        <v>57</v>
      </c>
      <c r="C22" s="397">
        <v>1389.649886392134</v>
      </c>
      <c r="E22" s="406"/>
    </row>
    <row r="23" spans="2:5">
      <c r="B23" s="5"/>
      <c r="C23" s="237"/>
    </row>
    <row r="24" spans="2:5">
      <c r="B24" s="20" t="s">
        <v>25</v>
      </c>
      <c r="C24" s="230"/>
    </row>
    <row r="25" spans="2:5">
      <c r="B25" s="5" t="s">
        <v>65</v>
      </c>
      <c r="C25" s="397">
        <v>13032.88066833308</v>
      </c>
    </row>
    <row r="26" spans="2:5">
      <c r="B26" s="5" t="s">
        <v>143</v>
      </c>
      <c r="C26" s="397">
        <v>5034.5457926550698</v>
      </c>
    </row>
    <row r="27" spans="2:5">
      <c r="B27" s="5" t="s">
        <v>66</v>
      </c>
      <c r="C27" s="397">
        <v>168.47252681144457</v>
      </c>
    </row>
    <row r="28" spans="2:5">
      <c r="B28" s="315" t="s">
        <v>67</v>
      </c>
      <c r="C28" s="401" t="s">
        <v>352</v>
      </c>
    </row>
    <row r="29" spans="2:5">
      <c r="B29" s="5" t="s">
        <v>93</v>
      </c>
      <c r="C29" s="397">
        <v>32.478756907871151</v>
      </c>
    </row>
    <row r="30" spans="2:5">
      <c r="B30" s="5"/>
      <c r="C30" s="230"/>
    </row>
    <row r="31" spans="2:5">
      <c r="B31" s="27" t="s">
        <v>6</v>
      </c>
      <c r="C31" s="230"/>
    </row>
    <row r="32" spans="2:5">
      <c r="B32" s="5" t="s">
        <v>72</v>
      </c>
      <c r="C32" s="230"/>
    </row>
    <row r="33" spans="2:3">
      <c r="B33" s="394" t="s">
        <v>146</v>
      </c>
      <c r="C33" s="397">
        <v>-2385.6248629514048</v>
      </c>
    </row>
    <row r="34" spans="2:3">
      <c r="B34" s="20" t="s">
        <v>73</v>
      </c>
      <c r="C34" s="230"/>
    </row>
    <row r="35" spans="2:3">
      <c r="B35" s="5" t="s">
        <v>125</v>
      </c>
      <c r="C35" s="397">
        <v>352.88180143381874</v>
      </c>
    </row>
    <row r="36" spans="2:3">
      <c r="B36" s="20" t="s">
        <v>126</v>
      </c>
      <c r="C36" s="402">
        <v>466.84926741086099</v>
      </c>
    </row>
    <row r="37" spans="2:3">
      <c r="B37" s="315" t="s">
        <v>87</v>
      </c>
      <c r="C37" s="402"/>
    </row>
    <row r="38" spans="2:3">
      <c r="B38" s="5" t="s">
        <v>83</v>
      </c>
      <c r="C38" s="398">
        <v>0.15000000000000002</v>
      </c>
    </row>
    <row r="39" spans="2:3">
      <c r="B39" s="5" t="s">
        <v>84</v>
      </c>
      <c r="C39" s="398">
        <v>9.4120477277610651E-2</v>
      </c>
    </row>
    <row r="40" spans="2:3">
      <c r="B40" s="31" t="s">
        <v>116</v>
      </c>
      <c r="C40" s="397">
        <v>-56.333333333333336</v>
      </c>
    </row>
    <row r="41" spans="2:3">
      <c r="B41" s="5" t="s">
        <v>60</v>
      </c>
      <c r="C41" s="197"/>
    </row>
    <row r="42" spans="2:3">
      <c r="B42" s="27" t="s">
        <v>50</v>
      </c>
      <c r="C42" s="197"/>
    </row>
    <row r="43" spans="2:3">
      <c r="B43" s="20" t="s">
        <v>88</v>
      </c>
      <c r="C43" s="197"/>
    </row>
    <row r="44" spans="2:3">
      <c r="B44" s="5" t="s">
        <v>74</v>
      </c>
      <c r="C44" s="359">
        <v>0.56000000000000005</v>
      </c>
    </row>
    <row r="45" spans="2:3">
      <c r="B45" s="5" t="s">
        <v>75</v>
      </c>
      <c r="C45" s="359">
        <v>0.04</v>
      </c>
    </row>
    <row r="46" spans="2:3">
      <c r="B46" s="5" t="s">
        <v>76</v>
      </c>
      <c r="C46" s="359">
        <v>0.39999999999999991</v>
      </c>
    </row>
    <row r="47" spans="2:3" ht="13.5" thickBot="1">
      <c r="B47" s="5" t="s">
        <v>77</v>
      </c>
      <c r="C47" s="360">
        <v>0</v>
      </c>
    </row>
    <row r="48" spans="2:3" ht="13.5" thickTop="1">
      <c r="B48" s="5"/>
      <c r="C48" s="245">
        <v>1</v>
      </c>
    </row>
    <row r="49" spans="2:3">
      <c r="B49" s="5"/>
      <c r="C49" s="403"/>
    </row>
    <row r="50" spans="2:3">
      <c r="B50" s="20" t="s">
        <v>89</v>
      </c>
      <c r="C50" s="197"/>
    </row>
    <row r="51" spans="2:3">
      <c r="B51" s="5" t="s">
        <v>78</v>
      </c>
      <c r="C51" s="361">
        <v>3.4764162645532698E-2</v>
      </c>
    </row>
    <row r="52" spans="2:3">
      <c r="B52" s="5" t="s">
        <v>79</v>
      </c>
      <c r="C52" s="361">
        <v>1.7600000000000001E-2</v>
      </c>
    </row>
    <row r="53" spans="2:3">
      <c r="B53" s="5" t="s">
        <v>80</v>
      </c>
      <c r="C53" s="361">
        <v>8.7800000000000003E-2</v>
      </c>
    </row>
    <row r="54" spans="2:3">
      <c r="B54" s="5" t="s">
        <v>81</v>
      </c>
      <c r="C54" s="361"/>
    </row>
    <row r="55" spans="2:3">
      <c r="B55" s="396"/>
    </row>
    <row r="56" spans="2:3">
      <c r="B56" s="396"/>
    </row>
    <row r="57" spans="2:3">
      <c r="B57" s="396"/>
    </row>
    <row r="58" spans="2:3">
      <c r="B58" s="396"/>
    </row>
    <row r="59" spans="2:3">
      <c r="B59" s="396"/>
    </row>
  </sheetData>
  <conditionalFormatting sqref="C48">
    <cfRule type="cellIs" dxfId="0" priority="1" stopIfTrue="1" operator="equal">
      <formula>0</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V46"/>
  <sheetViews>
    <sheetView showGridLines="0" zoomScaleNormal="100" zoomScaleSheetLayoutView="100" workbookViewId="0">
      <selection activeCell="F5" sqref="F5"/>
    </sheetView>
  </sheetViews>
  <sheetFormatPr defaultColWidth="9.140625" defaultRowHeight="12.75"/>
  <cols>
    <col min="1" max="7" width="9.140625" style="5"/>
    <col min="8" max="8" width="7" style="5" customWidth="1"/>
    <col min="9" max="9" width="11.28515625" style="5" customWidth="1"/>
    <col min="10" max="13" width="9.140625" style="5"/>
    <col min="14" max="14" width="9" customWidth="1"/>
    <col min="15" max="16384" width="9.140625" style="5"/>
  </cols>
  <sheetData>
    <row r="1" spans="3:11" s="2" customFormat="1" ht="21.75">
      <c r="C1" s="509"/>
      <c r="D1" s="509"/>
      <c r="E1" s="509"/>
      <c r="F1" s="278"/>
      <c r="G1" s="278"/>
      <c r="H1" s="278"/>
      <c r="I1" s="1"/>
    </row>
    <row r="2" spans="3:11" s="2" customFormat="1" ht="18">
      <c r="C2" s="271"/>
      <c r="D2" s="510"/>
      <c r="E2" s="510"/>
      <c r="F2" s="510"/>
      <c r="G2" s="510"/>
      <c r="H2" s="272"/>
    </row>
    <row r="3" spans="3:11" s="2" customFormat="1" ht="18">
      <c r="C3" s="271"/>
      <c r="D3" s="273"/>
      <c r="E3" s="273"/>
      <c r="F3" s="273"/>
      <c r="G3" s="273"/>
      <c r="H3" s="274"/>
    </row>
    <row r="4" spans="3:11" s="2" customFormat="1" ht="18">
      <c r="C4" s="275"/>
      <c r="D4" s="510"/>
      <c r="E4" s="510"/>
      <c r="F4" s="275"/>
      <c r="G4" s="275"/>
      <c r="H4" s="30"/>
      <c r="I4" s="9"/>
    </row>
    <row r="5" spans="3:11" s="2" customFormat="1" ht="18">
      <c r="C5" s="275"/>
      <c r="D5" s="273"/>
      <c r="E5" s="273"/>
      <c r="F5" s="275"/>
      <c r="G5" s="275"/>
      <c r="H5" s="30"/>
      <c r="I5" s="9"/>
    </row>
    <row r="6" spans="3:11" s="2" customFormat="1" ht="18">
      <c r="C6" s="275"/>
      <c r="D6" s="279"/>
      <c r="E6" s="275"/>
      <c r="F6" s="276"/>
      <c r="G6" s="277"/>
      <c r="H6" s="30"/>
    </row>
    <row r="7" spans="3:11" s="2" customFormat="1" ht="15.75">
      <c r="F7" s="3"/>
      <c r="G7" s="3"/>
      <c r="J7" s="7"/>
    </row>
    <row r="8" spans="3:11" s="2" customFormat="1"/>
    <row r="9" spans="3:11" s="2" customFormat="1" ht="18">
      <c r="C9" s="338"/>
    </row>
    <row r="10" spans="3:11" s="2" customFormat="1" ht="18">
      <c r="C10" s="338"/>
    </row>
    <row r="11" spans="3:11" s="2" customFormat="1" ht="15">
      <c r="D11" s="337" t="s">
        <v>222</v>
      </c>
      <c r="E11" s="339"/>
      <c r="F11" s="340"/>
      <c r="G11" s="340"/>
      <c r="H11" s="340"/>
      <c r="I11" s="337" t="s">
        <v>226</v>
      </c>
      <c r="J11" s="341"/>
      <c r="K11" s="291"/>
    </row>
    <row r="12" spans="3:11" s="2" customFormat="1" ht="15">
      <c r="D12" s="292"/>
      <c r="E12" s="340"/>
      <c r="F12" s="340"/>
      <c r="G12" s="340"/>
      <c r="H12" s="340"/>
      <c r="J12" s="341"/>
      <c r="K12" s="291"/>
    </row>
    <row r="13" spans="3:11" s="2" customFormat="1" ht="15.75">
      <c r="D13" s="337" t="s">
        <v>237</v>
      </c>
      <c r="E13" s="340"/>
      <c r="F13" s="340"/>
      <c r="G13" s="340"/>
      <c r="H13" s="340"/>
      <c r="I13" s="337" t="s">
        <v>227</v>
      </c>
      <c r="J13" s="342"/>
      <c r="K13" s="291"/>
    </row>
    <row r="14" spans="3:11" s="2" customFormat="1" ht="15.75">
      <c r="D14" s="292"/>
      <c r="E14" s="340"/>
      <c r="F14" s="340"/>
      <c r="G14" s="340"/>
      <c r="H14" s="340"/>
      <c r="I14" s="293"/>
      <c r="J14" s="343"/>
      <c r="K14" s="291"/>
    </row>
    <row r="15" spans="3:11" s="2" customFormat="1" ht="15.75">
      <c r="D15" s="337" t="s">
        <v>223</v>
      </c>
      <c r="E15" s="340"/>
      <c r="F15" s="340"/>
      <c r="G15" s="340"/>
      <c r="H15" s="340"/>
      <c r="I15" s="337" t="s">
        <v>236</v>
      </c>
      <c r="J15" s="342"/>
      <c r="K15" s="291"/>
    </row>
    <row r="16" spans="3:11" s="2" customFormat="1" ht="15.75">
      <c r="D16" s="292"/>
      <c r="E16" s="340"/>
      <c r="F16" s="340"/>
      <c r="G16" s="340"/>
      <c r="H16" s="340"/>
      <c r="I16" s="294"/>
      <c r="J16" s="343"/>
      <c r="K16" s="291"/>
    </row>
    <row r="17" spans="1:13" s="2" customFormat="1" ht="15.75">
      <c r="D17" s="337" t="s">
        <v>224</v>
      </c>
      <c r="E17" s="340"/>
      <c r="F17" s="340"/>
      <c r="G17" s="340"/>
      <c r="H17" s="340"/>
      <c r="I17" s="337" t="s">
        <v>228</v>
      </c>
      <c r="J17" s="342"/>
      <c r="K17" s="291"/>
    </row>
    <row r="18" spans="1:13" s="2" customFormat="1" ht="15.75">
      <c r="D18" s="292"/>
      <c r="E18" s="340"/>
      <c r="F18" s="340"/>
      <c r="G18" s="340"/>
      <c r="H18" s="340"/>
      <c r="J18" s="343"/>
      <c r="K18" s="291"/>
    </row>
    <row r="19" spans="1:13" s="2" customFormat="1" ht="15.75">
      <c r="D19" s="337" t="s">
        <v>225</v>
      </c>
      <c r="E19" s="340"/>
      <c r="F19" s="340"/>
      <c r="G19" s="340"/>
      <c r="H19" s="340"/>
      <c r="J19" s="342"/>
      <c r="K19" s="291"/>
    </row>
    <row r="20" spans="1:13" s="2" customFormat="1" ht="15.75">
      <c r="D20" s="295"/>
      <c r="E20" s="340"/>
      <c r="F20" s="340"/>
      <c r="G20" s="340"/>
      <c r="H20" s="344"/>
      <c r="I20" s="292"/>
      <c r="K20" s="291"/>
    </row>
    <row r="21" spans="1:13" s="2" customFormat="1" ht="15.75">
      <c r="D21" s="337"/>
      <c r="E21" s="340"/>
      <c r="F21" s="340"/>
      <c r="G21" s="340"/>
      <c r="H21" s="344"/>
      <c r="I21" s="292"/>
      <c r="J21" s="342"/>
      <c r="K21" s="291"/>
    </row>
    <row r="22" spans="1:13" s="2" customFormat="1" ht="15.75">
      <c r="D22" s="295"/>
      <c r="E22" s="340"/>
      <c r="F22" s="340"/>
      <c r="G22" s="340"/>
      <c r="H22" s="345"/>
      <c r="I22" s="292"/>
      <c r="J22" s="343"/>
      <c r="K22" s="297"/>
    </row>
    <row r="23" spans="1:13" s="2" customFormat="1" ht="15.75">
      <c r="C23" s="289"/>
      <c r="D23" s="346"/>
      <c r="E23" s="340"/>
      <c r="F23" s="343"/>
      <c r="G23" s="345"/>
      <c r="H23" s="345"/>
      <c r="I23" s="340"/>
      <c r="J23" s="340"/>
      <c r="K23" s="291"/>
    </row>
    <row r="24" spans="1:13" s="2" customFormat="1" ht="15.75">
      <c r="A24" s="4" t="s">
        <v>42</v>
      </c>
      <c r="B24" s="5"/>
      <c r="C24" s="5"/>
      <c r="D24" s="347"/>
      <c r="E24" s="347"/>
      <c r="F24" s="343"/>
      <c r="G24" s="345"/>
      <c r="H24" s="345"/>
      <c r="I24" s="340"/>
      <c r="J24" s="340"/>
      <c r="K24" s="291"/>
    </row>
    <row r="25" spans="1:13" s="2" customFormat="1">
      <c r="A25" s="185" t="s">
        <v>2</v>
      </c>
      <c r="B25" s="512" t="s">
        <v>51</v>
      </c>
      <c r="C25" s="512"/>
      <c r="D25" s="512"/>
      <c r="E25" s="512"/>
      <c r="F25" s="512"/>
      <c r="G25" s="512"/>
      <c r="H25" s="512"/>
    </row>
    <row r="26" spans="1:13" s="2" customFormat="1">
      <c r="A26" s="185" t="s">
        <v>3</v>
      </c>
      <c r="B26" s="512" t="s">
        <v>233</v>
      </c>
      <c r="C26" s="512"/>
      <c r="D26" s="512"/>
      <c r="E26" s="512"/>
      <c r="F26" s="512"/>
      <c r="G26" s="512"/>
      <c r="H26" s="512"/>
    </row>
    <row r="27" spans="1:13" s="2" customFormat="1">
      <c r="A27" s="185" t="s">
        <v>98</v>
      </c>
      <c r="B27" s="513" t="s">
        <v>232</v>
      </c>
      <c r="C27" s="513"/>
      <c r="D27" s="513"/>
      <c r="E27" s="513"/>
      <c r="F27" s="513"/>
      <c r="G27" s="513"/>
      <c r="H27" s="513"/>
    </row>
    <row r="28" spans="1:13" s="2" customFormat="1">
      <c r="A28" s="11" t="s">
        <v>122</v>
      </c>
      <c r="B28" s="511" t="s">
        <v>141</v>
      </c>
      <c r="C28" s="511"/>
      <c r="D28" s="511"/>
      <c r="E28" s="511"/>
      <c r="F28" s="511"/>
      <c r="G28" s="511"/>
      <c r="H28" s="511"/>
      <c r="I28" s="511"/>
      <c r="J28" s="511"/>
      <c r="K28" s="511"/>
      <c r="L28" s="511"/>
    </row>
    <row r="29" spans="1:13" s="2" customFormat="1">
      <c r="A29" s="11" t="s">
        <v>123</v>
      </c>
      <c r="B29" s="511" t="s">
        <v>159</v>
      </c>
      <c r="C29" s="511"/>
      <c r="D29" s="511"/>
      <c r="E29" s="511"/>
      <c r="F29" s="511"/>
      <c r="G29" s="511"/>
      <c r="H29" s="511"/>
      <c r="I29" s="511"/>
      <c r="J29" s="511"/>
      <c r="K29" s="511"/>
      <c r="L29" s="511"/>
      <c r="M29" s="290"/>
    </row>
    <row r="30" spans="1:13" ht="15.75">
      <c r="A30" s="146"/>
      <c r="B30" s="290"/>
      <c r="C30" s="290"/>
      <c r="D30" s="290"/>
      <c r="E30" s="290"/>
      <c r="F30" s="290"/>
      <c r="G30" s="290"/>
      <c r="H30" s="290"/>
      <c r="I30" s="290"/>
      <c r="J30" s="290"/>
      <c r="K30" s="290"/>
      <c r="L30" s="290"/>
      <c r="M30" s="290"/>
    </row>
    <row r="32" spans="1:13">
      <c r="C32" s="12"/>
    </row>
    <row r="33" spans="1:256">
      <c r="H33" s="6"/>
    </row>
    <row r="34" spans="1:256">
      <c r="F34" s="6"/>
      <c r="G34" s="6"/>
      <c r="H34" s="6"/>
    </row>
    <row r="35" spans="1:256">
      <c r="F35" s="6"/>
      <c r="G35" s="6"/>
      <c r="H35" s="10"/>
      <c r="I35" s="10"/>
    </row>
    <row r="36" spans="1:256">
      <c r="F36" s="290"/>
      <c r="G36" s="290"/>
      <c r="H36" s="10"/>
      <c r="I36" s="10"/>
    </row>
    <row r="37" spans="1:256">
      <c r="F37" s="290"/>
      <c r="G37" s="290"/>
      <c r="H37" s="10"/>
      <c r="I37" s="10"/>
    </row>
    <row r="38" spans="1:256" ht="15.75">
      <c r="F38" s="146"/>
      <c r="G38" s="146"/>
      <c r="H38" s="146"/>
      <c r="I38" s="146"/>
      <c r="J38" s="146"/>
      <c r="K38" s="146"/>
      <c r="L38" s="146"/>
      <c r="M38" s="146"/>
      <c r="O38" s="146"/>
      <c r="P38" s="146"/>
      <c r="Q38" s="146"/>
      <c r="R38" s="146"/>
      <c r="T38" s="146"/>
      <c r="U38" s="146"/>
      <c r="V38" s="146"/>
      <c r="W38" s="146"/>
      <c r="X38" s="146"/>
      <c r="Y38" s="146"/>
      <c r="Z38" s="146"/>
      <c r="AA38" s="146"/>
      <c r="AB38" s="146"/>
      <c r="AC38" s="146"/>
      <c r="AD38" s="146"/>
      <c r="AE38" s="146"/>
      <c r="AF38" s="146"/>
      <c r="AG38" s="146"/>
      <c r="AH38" s="146"/>
      <c r="AI38" s="146"/>
      <c r="AJ38" s="146"/>
      <c r="AK38" s="146"/>
      <c r="AL38" s="146"/>
      <c r="AM38" s="146"/>
      <c r="AN38" s="146"/>
      <c r="AO38" s="146"/>
      <c r="AP38" s="146"/>
      <c r="AQ38" s="146"/>
      <c r="AR38" s="146"/>
      <c r="AS38" s="146"/>
      <c r="AT38" s="146"/>
      <c r="AU38" s="146"/>
      <c r="AV38" s="146"/>
      <c r="AW38" s="146"/>
      <c r="AX38" s="146"/>
      <c r="AY38" s="146"/>
      <c r="AZ38" s="146"/>
      <c r="BA38" s="146"/>
      <c r="BB38" s="146"/>
      <c r="BC38" s="146"/>
      <c r="BD38" s="146"/>
      <c r="BE38" s="146"/>
      <c r="BF38" s="146"/>
      <c r="BG38" s="146"/>
      <c r="BH38" s="146"/>
      <c r="BI38" s="146"/>
      <c r="BJ38" s="146"/>
      <c r="BK38" s="146"/>
      <c r="BL38" s="146"/>
      <c r="BM38" s="146"/>
      <c r="BN38" s="146"/>
      <c r="BO38" s="146"/>
      <c r="BP38" s="146"/>
      <c r="BQ38" s="146"/>
      <c r="BR38" s="146"/>
      <c r="BS38" s="146"/>
      <c r="BT38" s="146"/>
      <c r="BU38" s="146"/>
      <c r="BV38" s="146"/>
      <c r="BW38" s="146"/>
      <c r="BX38" s="146"/>
      <c r="BY38" s="146"/>
      <c r="BZ38" s="146"/>
      <c r="CA38" s="146"/>
      <c r="CB38" s="146"/>
      <c r="CC38" s="146"/>
      <c r="CD38" s="146"/>
      <c r="CE38" s="146"/>
      <c r="CF38" s="146"/>
      <c r="CG38" s="146"/>
      <c r="CH38" s="146"/>
      <c r="CI38" s="146"/>
      <c r="CJ38" s="146"/>
      <c r="CK38" s="146"/>
      <c r="CL38" s="146"/>
      <c r="CM38" s="146"/>
      <c r="CN38" s="146"/>
      <c r="CO38" s="146"/>
      <c r="CP38" s="146"/>
      <c r="CQ38" s="146"/>
      <c r="CR38" s="146"/>
      <c r="CS38" s="146"/>
      <c r="CT38" s="146"/>
      <c r="CU38" s="146"/>
      <c r="CV38" s="146"/>
      <c r="CW38" s="146"/>
      <c r="CX38" s="146"/>
      <c r="CY38" s="146"/>
      <c r="CZ38" s="146"/>
      <c r="DA38" s="146"/>
      <c r="DB38" s="146"/>
      <c r="DC38" s="146"/>
      <c r="DD38" s="146"/>
      <c r="DE38" s="146"/>
      <c r="DF38" s="146"/>
      <c r="DG38" s="146"/>
      <c r="DH38" s="146"/>
      <c r="DI38" s="146"/>
      <c r="DJ38" s="146"/>
      <c r="DK38" s="146"/>
      <c r="DL38" s="146"/>
      <c r="DM38" s="146"/>
      <c r="DN38" s="146"/>
      <c r="DO38" s="146"/>
      <c r="DP38" s="146"/>
      <c r="DQ38" s="146"/>
      <c r="DR38" s="146"/>
      <c r="DS38" s="146"/>
      <c r="DT38" s="146"/>
      <c r="DU38" s="146"/>
      <c r="DV38" s="146"/>
      <c r="DW38" s="146"/>
      <c r="DX38" s="146"/>
      <c r="DY38" s="146"/>
      <c r="DZ38" s="146"/>
      <c r="EA38" s="146"/>
      <c r="EB38" s="146"/>
      <c r="EC38" s="146"/>
      <c r="ED38" s="146"/>
      <c r="EE38" s="146"/>
      <c r="EF38" s="146"/>
      <c r="EG38" s="146"/>
      <c r="EH38" s="146"/>
      <c r="EI38" s="146"/>
      <c r="EJ38" s="146"/>
      <c r="EK38" s="146"/>
      <c r="EL38" s="146"/>
      <c r="EM38" s="146"/>
      <c r="EN38" s="146"/>
      <c r="EO38" s="146"/>
      <c r="EP38" s="146"/>
      <c r="EQ38" s="146"/>
      <c r="ER38" s="146"/>
      <c r="ES38" s="146"/>
      <c r="ET38" s="146"/>
      <c r="EU38" s="146"/>
      <c r="EV38" s="146"/>
      <c r="EW38" s="146"/>
      <c r="EX38" s="146"/>
      <c r="EY38" s="146"/>
      <c r="EZ38" s="146"/>
      <c r="FA38" s="146"/>
      <c r="FB38" s="146"/>
      <c r="FC38" s="146"/>
      <c r="FD38" s="146"/>
      <c r="FE38" s="146"/>
      <c r="FF38" s="146"/>
      <c r="FG38" s="146"/>
      <c r="FH38" s="146"/>
      <c r="FI38" s="146"/>
      <c r="FJ38" s="146"/>
      <c r="FK38" s="146"/>
      <c r="FL38" s="146"/>
      <c r="FM38" s="146"/>
      <c r="FN38" s="146"/>
      <c r="FO38" s="146"/>
      <c r="FP38" s="146"/>
      <c r="FQ38" s="146"/>
      <c r="FR38" s="146"/>
      <c r="FS38" s="146"/>
      <c r="FT38" s="146"/>
      <c r="FU38" s="146"/>
      <c r="FV38" s="146"/>
      <c r="FW38" s="146"/>
      <c r="FX38" s="146"/>
      <c r="FY38" s="146"/>
      <c r="FZ38" s="146"/>
      <c r="GA38" s="146"/>
      <c r="GB38" s="146"/>
      <c r="GC38" s="146"/>
      <c r="GD38" s="146"/>
      <c r="GE38" s="146"/>
      <c r="GF38" s="146"/>
      <c r="GG38" s="146"/>
      <c r="GH38" s="146"/>
      <c r="GI38" s="146"/>
      <c r="GJ38" s="146"/>
      <c r="GK38" s="146"/>
      <c r="GL38" s="146"/>
      <c r="GM38" s="146"/>
      <c r="GN38" s="146"/>
      <c r="GO38" s="146"/>
      <c r="GP38" s="146"/>
      <c r="GQ38" s="146"/>
      <c r="GR38" s="146"/>
      <c r="GS38" s="146"/>
      <c r="GT38" s="146"/>
      <c r="GU38" s="146"/>
      <c r="GV38" s="146"/>
      <c r="GW38" s="146"/>
      <c r="GX38" s="146"/>
      <c r="GY38" s="146"/>
      <c r="GZ38" s="146"/>
      <c r="HA38" s="146"/>
      <c r="HB38" s="146"/>
      <c r="HC38" s="146"/>
      <c r="HD38" s="146"/>
      <c r="HE38" s="146"/>
      <c r="HF38" s="146"/>
      <c r="HG38" s="146"/>
      <c r="HH38" s="146"/>
      <c r="HI38" s="146"/>
      <c r="HJ38" s="146"/>
      <c r="HK38" s="146"/>
      <c r="HL38" s="146"/>
      <c r="HM38" s="146"/>
      <c r="HN38" s="146"/>
      <c r="HO38" s="146"/>
      <c r="HP38" s="146"/>
      <c r="HQ38" s="146"/>
      <c r="HR38" s="146"/>
      <c r="HS38" s="146"/>
      <c r="HT38" s="146"/>
      <c r="HU38" s="146"/>
      <c r="HV38" s="146"/>
      <c r="HW38" s="146"/>
      <c r="HX38" s="146"/>
      <c r="HY38" s="146"/>
      <c r="HZ38" s="146"/>
      <c r="IA38" s="146"/>
      <c r="IB38" s="146"/>
      <c r="IC38" s="146"/>
      <c r="ID38" s="146"/>
      <c r="IE38" s="146"/>
      <c r="IF38" s="146"/>
      <c r="IG38" s="146"/>
      <c r="IH38" s="146"/>
      <c r="II38" s="146"/>
      <c r="IJ38" s="146"/>
      <c r="IK38" s="146"/>
      <c r="IL38" s="146"/>
      <c r="IM38" s="146"/>
      <c r="IN38" s="146"/>
      <c r="IO38" s="146"/>
      <c r="IP38" s="146"/>
      <c r="IQ38" s="146"/>
      <c r="IR38" s="146"/>
      <c r="IS38" s="146"/>
      <c r="IT38" s="146"/>
      <c r="IU38" s="146"/>
      <c r="IV38" s="146"/>
    </row>
    <row r="39" spans="1:256">
      <c r="F39" s="288"/>
      <c r="G39" s="288"/>
    </row>
    <row r="40" spans="1:256">
      <c r="F40" s="288"/>
      <c r="G40" s="288"/>
    </row>
    <row r="41" spans="1:256">
      <c r="F41" s="288"/>
      <c r="G41" s="288"/>
    </row>
    <row r="42" spans="1:256">
      <c r="F42" s="288"/>
      <c r="G42" s="288"/>
    </row>
    <row r="43" spans="1:256">
      <c r="F43" s="288"/>
      <c r="G43" s="288"/>
    </row>
    <row r="44" spans="1:256">
      <c r="F44" s="288"/>
      <c r="G44" s="288"/>
    </row>
    <row r="45" spans="1:256">
      <c r="F45" s="288"/>
      <c r="G45" s="288"/>
    </row>
    <row r="46" spans="1:256">
      <c r="A46" s="288"/>
      <c r="B46" s="288"/>
      <c r="C46" s="288"/>
      <c r="D46" s="288"/>
      <c r="E46" s="288"/>
      <c r="F46" s="288"/>
      <c r="G46" s="288"/>
    </row>
  </sheetData>
  <sheetProtection password="82A3" sheet="1" objects="1" scenarios="1" formatColumns="0" formatRows="0"/>
  <mergeCells count="8">
    <mergeCell ref="C1:E1"/>
    <mergeCell ref="D2:G2"/>
    <mergeCell ref="D4:E4"/>
    <mergeCell ref="B29:L29"/>
    <mergeCell ref="B25:H25"/>
    <mergeCell ref="B26:H26"/>
    <mergeCell ref="B27:H27"/>
    <mergeCell ref="B28:L28"/>
  </mergeCells>
  <phoneticPr fontId="2" type="noConversion"/>
  <hyperlinks>
    <hyperlink ref="D11" location="'1. Info'!A1" display="1. Info"/>
    <hyperlink ref="D13" location="'2. Table of Contents'!A1" display="2. Table of Contents"/>
    <hyperlink ref="D15" location="'3. Data_Input_Sheet'!A1" display="3. Data_Input_Sheet"/>
    <hyperlink ref="D17" location="'4. Rate_Base'!A1" display="4. Rate_Base"/>
    <hyperlink ref="I13" location="'7. Cost_of_Capital'!A1" display="7. Cost_of_Capital"/>
    <hyperlink ref="I15" location="'8. Rev_Def_Suff'!A1" display="8. Rev_Def_Suff"/>
    <hyperlink ref="I17" location="'9. Rev_Reqt'!A1" display="9. Rev_Reqt"/>
    <hyperlink ref="D19" location="'5. Utility Income'!A1" display="5. Utility Income"/>
    <hyperlink ref="I11" location="'6. Taxes_PILs'!A1" display="6. Taxes_PILs"/>
  </hyperlinks>
  <pageMargins left="0.75" right="0.75" top="1" bottom="1" header="0.5" footer="0.5"/>
  <pageSetup scale="84" orientation="landscape" horizontalDpi="4294967293" r:id="rId1"/>
  <headerFooter alignWithMargins="0">
    <oddFooter>&amp;C1</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C89"/>
  <sheetViews>
    <sheetView showGridLines="0" topLeftCell="A13" zoomScaleNormal="100" zoomScaleSheetLayoutView="100" workbookViewId="0">
      <selection activeCell="M49" sqref="M49"/>
    </sheetView>
  </sheetViews>
  <sheetFormatPr defaultColWidth="9.140625" defaultRowHeight="12.75"/>
  <cols>
    <col min="1" max="1" width="2.7109375" style="5" customWidth="1"/>
    <col min="2" max="2" width="10.7109375" style="5" customWidth="1"/>
    <col min="3" max="3" width="2.140625" style="5" customWidth="1"/>
    <col min="4" max="4" width="39.42578125" style="5" customWidth="1"/>
    <col min="5" max="5" width="15.28515625" style="5" customWidth="1"/>
    <col min="6" max="6" width="1" style="5" customWidth="1"/>
    <col min="7" max="7" width="4" style="5" customWidth="1"/>
    <col min="8" max="8" width="1" style="5" customWidth="1"/>
    <col min="9" max="9" width="13.140625" style="5" customWidth="1"/>
    <col min="10" max="10" width="1.140625" style="5" customWidth="1"/>
    <col min="11" max="11" width="2.5703125" style="5" customWidth="1"/>
    <col min="12" max="12" width="1.140625" style="5" customWidth="1"/>
    <col min="13" max="13" width="14.7109375" style="5" customWidth="1"/>
    <col min="14" max="14" width="1.140625" style="5" customWidth="1"/>
    <col min="15" max="15" width="3.85546875" style="5" customWidth="1"/>
    <col min="16" max="16" width="1.140625" style="5" customWidth="1"/>
    <col min="17" max="17" width="14.42578125" style="5" customWidth="1"/>
    <col min="18" max="18" width="2" style="5" customWidth="1"/>
    <col min="19" max="19" width="2.85546875" style="5" customWidth="1"/>
    <col min="20" max="20" width="1.140625" style="5" customWidth="1"/>
    <col min="21" max="21" width="15.7109375" style="5" customWidth="1"/>
    <col min="22" max="22" width="0.85546875" style="5" customWidth="1"/>
    <col min="23" max="23" width="3.7109375" style="5" customWidth="1"/>
    <col min="24" max="24" width="1.7109375" style="5" customWidth="1"/>
    <col min="25" max="16384" width="9.140625" style="5"/>
  </cols>
  <sheetData>
    <row r="1" spans="2:24" s="2" customFormat="1" ht="21.75">
      <c r="C1" s="516"/>
      <c r="D1" s="516"/>
      <c r="E1" s="516"/>
      <c r="F1" s="516"/>
      <c r="G1" s="516"/>
      <c r="H1" s="516"/>
      <c r="I1" s="516"/>
      <c r="J1" s="516"/>
      <c r="K1" s="516"/>
      <c r="L1" s="516"/>
      <c r="M1" s="516"/>
      <c r="N1" s="8"/>
      <c r="O1" s="8"/>
      <c r="P1" s="8"/>
      <c r="Q1" s="8"/>
      <c r="R1" s="8"/>
      <c r="S1" s="8"/>
      <c r="T1" s="8"/>
      <c r="U1" s="147" t="str">
        <f>CONCATENATE('2. Table of Contents'!$F$6," ",'2. Table of Contents'!$G$6)</f>
        <v xml:space="preserve"> </v>
      </c>
      <c r="V1" s="1"/>
    </row>
    <row r="2" spans="2:24" s="2" customFormat="1" ht="18">
      <c r="C2" s="521"/>
      <c r="D2" s="521"/>
      <c r="E2" s="521"/>
      <c r="F2" s="521"/>
      <c r="G2" s="521"/>
      <c r="H2" s="521"/>
      <c r="I2" s="521"/>
      <c r="J2" s="521"/>
      <c r="K2" s="521"/>
      <c r="L2" s="36"/>
      <c r="N2" s="36"/>
      <c r="O2" s="36"/>
      <c r="P2" s="36"/>
      <c r="Q2" s="36"/>
      <c r="R2" s="36"/>
      <c r="S2" s="36"/>
      <c r="T2" s="36"/>
      <c r="U2" s="298"/>
    </row>
    <row r="3" spans="2:24" s="2" customFormat="1" ht="18">
      <c r="C3" s="521"/>
      <c r="D3" s="521"/>
      <c r="E3" s="521"/>
      <c r="F3" s="521"/>
      <c r="G3" s="521"/>
      <c r="H3" s="521"/>
      <c r="I3" s="521"/>
      <c r="J3" s="521"/>
      <c r="K3" s="521"/>
      <c r="L3" s="36"/>
      <c r="N3" s="36"/>
      <c r="O3" s="36"/>
      <c r="P3" s="36"/>
      <c r="Q3" s="36"/>
      <c r="R3" s="36"/>
      <c r="S3" s="36"/>
      <c r="T3" s="36"/>
      <c r="U3" s="298"/>
    </row>
    <row r="4" spans="2:24" s="2" customFormat="1" ht="18">
      <c r="C4" s="521"/>
      <c r="D4" s="521"/>
      <c r="E4" s="521"/>
      <c r="F4" s="521"/>
      <c r="G4" s="521"/>
      <c r="H4" s="521"/>
      <c r="I4" s="521"/>
      <c r="J4" s="521"/>
      <c r="K4" s="521"/>
      <c r="L4" s="36"/>
      <c r="N4" s="36"/>
      <c r="O4" s="36"/>
      <c r="P4" s="36"/>
      <c r="Q4" s="36"/>
      <c r="R4" s="36"/>
      <c r="S4" s="36"/>
      <c r="T4" s="36"/>
      <c r="U4" s="296"/>
    </row>
    <row r="5" spans="2:24" s="2" customFormat="1" ht="15.75">
      <c r="G5" s="3"/>
      <c r="H5" s="3"/>
      <c r="I5" s="3"/>
      <c r="J5" s="3"/>
      <c r="U5" s="291"/>
    </row>
    <row r="6" spans="2:24" s="2" customFormat="1" ht="36.75" customHeight="1">
      <c r="U6" s="291"/>
    </row>
    <row r="7" spans="2:24" ht="4.5" customHeight="1"/>
    <row r="8" spans="2:24" ht="22.5" customHeight="1">
      <c r="E8" s="517"/>
      <c r="F8" s="517"/>
      <c r="G8" s="517"/>
      <c r="H8" s="517"/>
      <c r="I8" s="517"/>
      <c r="J8" s="517"/>
      <c r="K8" s="517"/>
      <c r="L8" s="517"/>
      <c r="M8" s="517"/>
      <c r="N8" s="517"/>
      <c r="O8" s="517"/>
      <c r="P8" s="517"/>
      <c r="Q8" s="517"/>
      <c r="R8" s="517"/>
      <c r="S8" s="517"/>
      <c r="T8" s="517"/>
      <c r="U8" s="517"/>
      <c r="V8" s="144"/>
      <c r="W8" s="13"/>
      <c r="X8" s="14"/>
    </row>
    <row r="9" spans="2:24" ht="22.5" customHeight="1">
      <c r="B9" s="382" t="s">
        <v>280</v>
      </c>
      <c r="D9" s="25"/>
      <c r="E9" s="144"/>
      <c r="F9" s="144"/>
      <c r="G9" s="144"/>
      <c r="H9" s="144"/>
      <c r="I9" s="144"/>
      <c r="J9" s="144"/>
      <c r="K9" s="144"/>
      <c r="L9" s="144"/>
      <c r="M9" s="144"/>
      <c r="N9" s="144"/>
      <c r="O9" s="144"/>
      <c r="P9" s="144"/>
      <c r="Q9" s="144"/>
      <c r="R9" s="144"/>
      <c r="S9" s="144"/>
      <c r="T9" s="144"/>
      <c r="U9" s="144"/>
      <c r="V9" s="144"/>
      <c r="W9" s="13"/>
      <c r="X9" s="14"/>
    </row>
    <row r="10" spans="2:24" ht="22.5" customHeight="1">
      <c r="D10" s="25"/>
      <c r="E10" s="144"/>
      <c r="F10" s="144"/>
      <c r="G10" s="144"/>
      <c r="H10" s="144"/>
      <c r="I10" s="144"/>
      <c r="J10" s="144"/>
      <c r="K10" s="144"/>
      <c r="L10" s="144"/>
      <c r="M10" s="144"/>
      <c r="N10" s="144"/>
      <c r="O10" s="144"/>
      <c r="P10" s="144"/>
      <c r="Q10" s="144"/>
      <c r="R10" s="144"/>
      <c r="S10" s="144"/>
      <c r="T10" s="144"/>
      <c r="U10" s="144"/>
      <c r="V10" s="144"/>
      <c r="W10" s="13"/>
      <c r="X10" s="14"/>
    </row>
    <row r="11" spans="2:24" ht="10.5" customHeight="1">
      <c r="V11" s="26"/>
    </row>
    <row r="12" spans="2:24" ht="12.75" customHeight="1">
      <c r="E12" s="524" t="s">
        <v>155</v>
      </c>
      <c r="F12" s="69"/>
      <c r="G12" s="522" t="s">
        <v>3</v>
      </c>
      <c r="H12" s="26"/>
      <c r="I12" s="518" t="str">
        <f>IF(ISBLANK(M12),"","Adjustments")</f>
        <v>Adjustments</v>
      </c>
      <c r="J12" s="69"/>
      <c r="K12" s="306"/>
      <c r="L12" s="306"/>
      <c r="M12" s="526" t="s">
        <v>323</v>
      </c>
      <c r="N12" s="306"/>
      <c r="O12" s="522" t="s">
        <v>147</v>
      </c>
      <c r="P12" s="306"/>
      <c r="Q12" s="518" t="str">
        <f>IF(ISBLANK(M12),"","Adjustments")</f>
        <v>Adjustments</v>
      </c>
      <c r="R12" s="306"/>
      <c r="S12" s="306"/>
      <c r="T12" s="306"/>
      <c r="U12" s="524" t="s">
        <v>154</v>
      </c>
      <c r="V12" s="145"/>
    </row>
    <row r="13" spans="2:24" ht="27" customHeight="1">
      <c r="E13" s="525"/>
      <c r="F13" s="69"/>
      <c r="G13" s="523"/>
      <c r="H13" s="26"/>
      <c r="I13" s="518"/>
      <c r="J13" s="69"/>
      <c r="K13" s="306"/>
      <c r="L13" s="306"/>
      <c r="M13" s="527"/>
      <c r="N13" s="306"/>
      <c r="O13" s="523"/>
      <c r="P13" s="306"/>
      <c r="Q13" s="518"/>
      <c r="R13" s="306"/>
      <c r="S13" s="306"/>
      <c r="T13" s="306"/>
      <c r="U13" s="525"/>
      <c r="V13" s="145"/>
    </row>
    <row r="14" spans="2:24" ht="10.5" customHeight="1">
      <c r="J14" s="26"/>
      <c r="V14" s="26"/>
    </row>
    <row r="15" spans="2:24">
      <c r="B15" s="301">
        <v>1</v>
      </c>
      <c r="C15" s="17" t="s">
        <v>7</v>
      </c>
      <c r="D15" s="17"/>
      <c r="J15" s="26"/>
      <c r="V15" s="26"/>
    </row>
    <row r="16" spans="2:24">
      <c r="B16" s="302"/>
      <c r="C16" s="5" t="s">
        <v>100</v>
      </c>
      <c r="E16" s="357">
        <v>206001.29629018123</v>
      </c>
      <c r="F16" s="233"/>
      <c r="G16" s="362"/>
      <c r="H16" s="11"/>
      <c r="I16" s="364">
        <f>Data!C5-E16</f>
        <v>-7345</v>
      </c>
      <c r="J16" s="233"/>
      <c r="K16" s="363"/>
      <c r="L16" s="198"/>
      <c r="M16" s="234">
        <f>IF(ISBLANK(E16),0,E16+I16)</f>
        <v>198656.29629018123</v>
      </c>
      <c r="N16" s="198"/>
      <c r="O16" s="363"/>
      <c r="P16" s="198"/>
      <c r="Q16" s="364"/>
      <c r="R16" s="233"/>
      <c r="S16" s="363"/>
      <c r="T16" s="198"/>
      <c r="U16" s="235">
        <f>IF(ISBLANK(E16),"",E16+I16+Q16)</f>
        <v>198656.29629018123</v>
      </c>
      <c r="V16" s="19"/>
    </row>
    <row r="17" spans="2:29">
      <c r="B17" s="302"/>
      <c r="C17" s="5" t="s">
        <v>101</v>
      </c>
      <c r="E17" s="357">
        <v>-94891.654203667364</v>
      </c>
      <c r="F17" s="233"/>
      <c r="G17" s="11" t="s">
        <v>123</v>
      </c>
      <c r="H17" s="11"/>
      <c r="I17" s="364">
        <f>Data!C6-E17</f>
        <v>88.381944444437977</v>
      </c>
      <c r="J17" s="233"/>
      <c r="K17" s="363"/>
      <c r="L17" s="198"/>
      <c r="M17" s="235">
        <f>IF(ISBLANK(E17),0,E17+I17)</f>
        <v>-94803.272259222926</v>
      </c>
      <c r="N17" s="198"/>
      <c r="O17" s="363"/>
      <c r="P17" s="198"/>
      <c r="Q17" s="364"/>
      <c r="R17" s="233"/>
      <c r="S17" s="363"/>
      <c r="T17" s="198"/>
      <c r="U17" s="235">
        <f>IF(ISBLANK(E17),"",E17+I17+Q17)</f>
        <v>-94803.272259222926</v>
      </c>
      <c r="V17" s="19"/>
    </row>
    <row r="18" spans="2:29">
      <c r="B18" s="302"/>
      <c r="C18" s="20" t="s">
        <v>85</v>
      </c>
      <c r="D18" s="20"/>
      <c r="E18" s="237"/>
      <c r="F18" s="237"/>
      <c r="G18" s="202"/>
      <c r="H18" s="202"/>
      <c r="I18" s="237"/>
      <c r="J18" s="237"/>
      <c r="K18" s="197"/>
      <c r="L18" s="197"/>
      <c r="M18" s="238"/>
      <c r="N18" s="197"/>
      <c r="O18" s="197"/>
      <c r="P18" s="197"/>
      <c r="Q18" s="237"/>
      <c r="R18" s="237"/>
      <c r="S18" s="197"/>
      <c r="T18" s="197"/>
      <c r="U18" s="237"/>
      <c r="V18" s="21"/>
    </row>
    <row r="19" spans="2:29">
      <c r="B19" s="302"/>
      <c r="C19" s="5" t="s">
        <v>61</v>
      </c>
      <c r="E19" s="357">
        <v>13233.831952052396</v>
      </c>
      <c r="F19" s="233"/>
      <c r="G19" s="363"/>
      <c r="H19" s="197"/>
      <c r="I19" s="364">
        <f>Data!C8-E19</f>
        <v>0</v>
      </c>
      <c r="J19" s="233"/>
      <c r="K19" s="363"/>
      <c r="L19" s="198"/>
      <c r="M19" s="236">
        <f>IF(ISBLANK(E19),0,E19+I19)</f>
        <v>13233.831952052396</v>
      </c>
      <c r="N19" s="198"/>
      <c r="O19" s="363"/>
      <c r="P19" s="198"/>
      <c r="Q19" s="364"/>
      <c r="R19" s="233"/>
      <c r="S19" s="363"/>
      <c r="T19" s="198"/>
      <c r="U19" s="235">
        <f>IF(ISBLANK(E19),"",E19+I19+Q19)</f>
        <v>13233.831952052396</v>
      </c>
      <c r="V19" s="19"/>
    </row>
    <row r="20" spans="2:29">
      <c r="B20" s="302"/>
      <c r="C20" s="5" t="s">
        <v>62</v>
      </c>
      <c r="E20" s="357">
        <v>123227.96833617106</v>
      </c>
      <c r="F20" s="233"/>
      <c r="G20" s="363"/>
      <c r="H20" s="197"/>
      <c r="I20" s="364">
        <f>Data!C9-E20</f>
        <v>-10475.03668480576</v>
      </c>
      <c r="J20" s="233"/>
      <c r="K20" s="363"/>
      <c r="L20" s="198"/>
      <c r="M20" s="236">
        <f>IF(ISBLANK(E20),0,E20+I20)</f>
        <v>112752.9316513653</v>
      </c>
      <c r="N20" s="198"/>
      <c r="O20" s="363"/>
      <c r="P20" s="198"/>
      <c r="Q20" s="364"/>
      <c r="R20" s="233"/>
      <c r="S20" s="363"/>
      <c r="T20" s="198"/>
      <c r="U20" s="235">
        <f>IF(ISBLANK(E20),"",E20+I20+Q20)</f>
        <v>112752.9316513653</v>
      </c>
      <c r="V20" s="19"/>
      <c r="Y20" s="518"/>
    </row>
    <row r="21" spans="2:29">
      <c r="B21" s="302"/>
      <c r="C21" s="5" t="s">
        <v>63</v>
      </c>
      <c r="E21" s="358">
        <v>9.3700000000000006E-2</v>
      </c>
      <c r="F21" s="239"/>
      <c r="G21" s="11" t="s">
        <v>246</v>
      </c>
      <c r="H21" s="197"/>
      <c r="I21" s="237"/>
      <c r="J21" s="237"/>
      <c r="K21" s="197"/>
      <c r="L21" s="197"/>
      <c r="M21" s="358">
        <f>Data!C10</f>
        <v>9.3700000000000006E-2</v>
      </c>
      <c r="N21" s="239"/>
      <c r="O21" s="11" t="s">
        <v>246</v>
      </c>
      <c r="P21" s="197"/>
      <c r="Q21" s="197"/>
      <c r="R21" s="197"/>
      <c r="S21" s="197"/>
      <c r="T21" s="197"/>
      <c r="U21" s="358">
        <f>M21</f>
        <v>9.3700000000000006E-2</v>
      </c>
      <c r="V21" s="179"/>
      <c r="W21" s="11" t="s">
        <v>246</v>
      </c>
      <c r="Y21" s="518"/>
    </row>
    <row r="22" spans="2:29" ht="10.5" customHeight="1">
      <c r="B22" s="302"/>
      <c r="E22" s="230"/>
      <c r="F22" s="237"/>
      <c r="G22" s="197"/>
      <c r="H22" s="197"/>
      <c r="I22" s="230"/>
      <c r="J22" s="237"/>
      <c r="K22" s="197"/>
      <c r="L22" s="197"/>
      <c r="M22" s="239"/>
      <c r="N22" s="239"/>
      <c r="O22" s="240"/>
      <c r="P22" s="197"/>
      <c r="Q22" s="197"/>
      <c r="R22" s="197"/>
      <c r="S22" s="197"/>
      <c r="T22" s="197"/>
      <c r="U22" s="230"/>
      <c r="V22" s="21"/>
    </row>
    <row r="23" spans="2:29">
      <c r="B23" s="301">
        <v>2</v>
      </c>
      <c r="C23" s="23" t="s">
        <v>47</v>
      </c>
      <c r="D23" s="23"/>
      <c r="E23" s="230"/>
      <c r="F23" s="237"/>
      <c r="G23" s="197"/>
      <c r="H23" s="197"/>
      <c r="I23" s="230"/>
      <c r="J23" s="237"/>
      <c r="K23" s="197"/>
      <c r="L23" s="197"/>
      <c r="M23" s="197"/>
      <c r="N23" s="197"/>
      <c r="O23" s="197"/>
      <c r="P23" s="197"/>
      <c r="Q23" s="197"/>
      <c r="R23" s="197"/>
      <c r="S23" s="197"/>
      <c r="T23" s="197"/>
      <c r="U23" s="230"/>
      <c r="V23" s="143"/>
      <c r="W23" s="15"/>
      <c r="X23" s="15"/>
      <c r="Y23" s="15"/>
      <c r="Z23" s="15"/>
      <c r="AA23" s="15"/>
      <c r="AB23" s="15"/>
      <c r="AC23" s="15"/>
    </row>
    <row r="24" spans="2:29">
      <c r="B24" s="302"/>
      <c r="C24" s="24" t="s">
        <v>24</v>
      </c>
      <c r="D24" s="24"/>
      <c r="E24" s="230"/>
      <c r="F24" s="237"/>
      <c r="G24" s="197"/>
      <c r="H24" s="197"/>
      <c r="I24" s="230"/>
      <c r="J24" s="237"/>
      <c r="K24" s="197"/>
      <c r="L24" s="197"/>
      <c r="M24" s="197"/>
      <c r="N24" s="197"/>
      <c r="O24" s="197"/>
      <c r="P24" s="197"/>
      <c r="Q24" s="197"/>
      <c r="R24" s="197"/>
      <c r="S24" s="197"/>
      <c r="T24" s="197"/>
      <c r="U24" s="230"/>
      <c r="V24" s="143"/>
      <c r="W24" s="15"/>
      <c r="X24" s="15"/>
      <c r="Y24" s="15"/>
      <c r="Z24" s="15"/>
      <c r="AA24" s="15"/>
      <c r="AB24" s="15"/>
      <c r="AC24" s="15"/>
    </row>
    <row r="25" spans="2:29">
      <c r="B25" s="302"/>
      <c r="C25" s="25" t="s">
        <v>113</v>
      </c>
      <c r="D25" s="25"/>
      <c r="E25" s="357">
        <v>23603.655927909476</v>
      </c>
      <c r="F25" s="233"/>
      <c r="G25" s="363"/>
      <c r="H25" s="197"/>
      <c r="I25" s="237">
        <f>IF(ISBLANK(M25),"",IF(ISBLANK(E25),"",M25-E25))</f>
        <v>-699.17647904806654</v>
      </c>
      <c r="J25" s="237"/>
      <c r="K25" s="197"/>
      <c r="L25" s="197"/>
      <c r="M25" s="357">
        <f>Data!$C14</f>
        <v>22904.47944886141</v>
      </c>
      <c r="N25" s="233"/>
      <c r="O25" s="363"/>
      <c r="P25" s="197"/>
      <c r="Q25" s="237">
        <f>IF(ISBLANK(U25),"",IF(ISBLANK(M25),"",U25-M25))</f>
        <v>0</v>
      </c>
      <c r="R25" s="197"/>
      <c r="S25" s="197"/>
      <c r="T25" s="197"/>
      <c r="U25" s="357">
        <f>Data!$C14</f>
        <v>22904.47944886141</v>
      </c>
      <c r="V25" s="29"/>
      <c r="W25" s="365"/>
    </row>
    <row r="26" spans="2:29">
      <c r="B26" s="302"/>
      <c r="C26" s="5" t="s">
        <v>109</v>
      </c>
      <c r="E26" s="357">
        <v>24975.153694580666</v>
      </c>
      <c r="F26" s="233"/>
      <c r="G26" s="363"/>
      <c r="H26" s="197"/>
      <c r="I26" s="237">
        <f>IF(ISBLANK(M26),"",IF(ISBLANK(E26),"",M26-E26))</f>
        <v>-1234.6233006325674</v>
      </c>
      <c r="J26" s="235"/>
      <c r="K26" s="197"/>
      <c r="L26" s="197"/>
      <c r="M26" s="357">
        <f>Data!$C15</f>
        <v>23740.530393948098</v>
      </c>
      <c r="N26" s="233"/>
      <c r="O26" s="363"/>
      <c r="P26" s="197"/>
      <c r="Q26" s="237">
        <f>IF(ISBLANK(U26),"",IF(ISBLANK(M26),"",U26-M26))</f>
        <v>0</v>
      </c>
      <c r="R26" s="197"/>
      <c r="S26" s="197"/>
      <c r="T26" s="197"/>
      <c r="U26" s="357">
        <f>Data!$C15</f>
        <v>23740.530393948098</v>
      </c>
      <c r="V26" s="29"/>
      <c r="W26" s="365"/>
    </row>
    <row r="27" spans="2:29">
      <c r="B27" s="302"/>
      <c r="C27" s="20" t="s">
        <v>86</v>
      </c>
      <c r="D27" s="20"/>
      <c r="E27" s="230"/>
      <c r="F27" s="237"/>
      <c r="G27" s="197"/>
      <c r="H27" s="197"/>
      <c r="I27" s="230"/>
      <c r="J27" s="237"/>
      <c r="K27" s="197"/>
      <c r="L27" s="197"/>
      <c r="M27" s="230"/>
      <c r="N27" s="237"/>
      <c r="O27" s="197"/>
      <c r="P27" s="197"/>
      <c r="Q27" s="230"/>
      <c r="R27" s="197"/>
      <c r="S27" s="197"/>
      <c r="T27" s="197"/>
      <c r="U27" s="230"/>
      <c r="V27" s="21"/>
    </row>
    <row r="28" spans="2:29">
      <c r="B28" s="302"/>
      <c r="C28" s="5" t="s">
        <v>68</v>
      </c>
      <c r="E28" s="357">
        <v>789.58496277779284</v>
      </c>
      <c r="F28" s="233"/>
      <c r="G28" s="363"/>
      <c r="H28" s="197"/>
      <c r="I28" s="237">
        <f>IF(ISBLANK(M28),"",IF(ISBLANK(E28),"",M28-E28))</f>
        <v>-3.3695694501335538</v>
      </c>
      <c r="J28" s="237"/>
      <c r="K28" s="197"/>
      <c r="L28" s="197"/>
      <c r="M28" s="357">
        <f>Data!$C17</f>
        <v>786.21539332765929</v>
      </c>
      <c r="N28" s="233"/>
      <c r="O28" s="363"/>
      <c r="P28" s="197"/>
      <c r="Q28" s="237">
        <f>IF(ISBLANK(U28),"",IF(ISBLANK(M28),"",U28-M28))</f>
        <v>0</v>
      </c>
      <c r="R28" s="197"/>
      <c r="S28" s="197"/>
      <c r="T28" s="197"/>
      <c r="U28" s="357">
        <f>Data!$C17</f>
        <v>786.21539332765929</v>
      </c>
      <c r="V28" s="29"/>
      <c r="W28" s="365"/>
    </row>
    <row r="29" spans="2:29">
      <c r="B29" s="302"/>
      <c r="C29" s="5" t="s">
        <v>69</v>
      </c>
      <c r="E29" s="357">
        <v>305.94343299250335</v>
      </c>
      <c r="F29" s="233"/>
      <c r="G29" s="363"/>
      <c r="H29" s="197"/>
      <c r="I29" s="237">
        <f>IF(ISBLANK(M29),"",IF(ISBLANK(E29),"",M29-E29))</f>
        <v>-1.3825047621622844</v>
      </c>
      <c r="J29" s="237"/>
      <c r="K29" s="197"/>
      <c r="L29" s="197"/>
      <c r="M29" s="357">
        <f>Data!$C18</f>
        <v>304.56092823034106</v>
      </c>
      <c r="N29" s="233"/>
      <c r="O29" s="363"/>
      <c r="P29" s="197"/>
      <c r="Q29" s="237">
        <f>IF(ISBLANK(U29),"",IF(ISBLANK(M29),"",U29-M29))</f>
        <v>0</v>
      </c>
      <c r="R29" s="197"/>
      <c r="S29" s="197"/>
      <c r="T29" s="197"/>
      <c r="U29" s="357">
        <f>Data!$C18</f>
        <v>304.56092823034106</v>
      </c>
      <c r="V29" s="29"/>
      <c r="W29" s="365"/>
    </row>
    <row r="30" spans="2:29">
      <c r="B30" s="302"/>
      <c r="C30" s="5" t="s">
        <v>70</v>
      </c>
      <c r="E30" s="357">
        <v>171.91209233969965</v>
      </c>
      <c r="F30" s="233"/>
      <c r="G30" s="363"/>
      <c r="H30" s="197"/>
      <c r="I30" s="237">
        <f>IF(ISBLANK(M30),"",IF(ISBLANK(E30),"",M30-E30))</f>
        <v>-1.0385275055659804</v>
      </c>
      <c r="J30" s="237"/>
      <c r="K30" s="197"/>
      <c r="L30" s="197"/>
      <c r="M30" s="357">
        <f>Data!$C19</f>
        <v>170.87356483413367</v>
      </c>
      <c r="N30" s="233"/>
      <c r="O30" s="363"/>
      <c r="P30" s="197"/>
      <c r="Q30" s="237">
        <f>IF(ISBLANK(U30),"",IF(ISBLANK(M30),"",U30-M30))</f>
        <v>0</v>
      </c>
      <c r="R30" s="197"/>
      <c r="S30" s="197"/>
      <c r="T30" s="197"/>
      <c r="U30" s="357">
        <f>Data!$C19</f>
        <v>170.87356483413367</v>
      </c>
      <c r="V30" s="29"/>
      <c r="W30" s="365"/>
    </row>
    <row r="31" spans="2:29">
      <c r="B31" s="302"/>
      <c r="C31" s="5" t="s">
        <v>71</v>
      </c>
      <c r="E31" s="357">
        <v>128</v>
      </c>
      <c r="F31" s="233"/>
      <c r="G31" s="363"/>
      <c r="H31" s="197"/>
      <c r="I31" s="237">
        <f>IF(ISBLANK(M31),"",IF(ISBLANK(E31),"",M31-E31))</f>
        <v>0</v>
      </c>
      <c r="J31" s="237"/>
      <c r="K31" s="197"/>
      <c r="L31" s="197"/>
      <c r="M31" s="357">
        <f>Data!$C20</f>
        <v>128</v>
      </c>
      <c r="N31" s="233"/>
      <c r="O31" s="363"/>
      <c r="P31" s="197"/>
      <c r="Q31" s="237">
        <f>IF(ISBLANK(U31),"",IF(ISBLANK(M31),"",U31-M31))</f>
        <v>0</v>
      </c>
      <c r="R31" s="197"/>
      <c r="S31" s="197"/>
      <c r="T31" s="197"/>
      <c r="U31" s="357">
        <f>Data!$C20</f>
        <v>128</v>
      </c>
      <c r="V31" s="29"/>
      <c r="W31" s="365"/>
    </row>
    <row r="32" spans="2:29">
      <c r="B32" s="302"/>
      <c r="D32" s="26"/>
      <c r="E32" s="348"/>
      <c r="F32" s="233"/>
      <c r="G32" s="267"/>
      <c r="H32" s="198"/>
      <c r="I32" s="237"/>
      <c r="J32" s="237"/>
      <c r="K32" s="198"/>
      <c r="L32" s="198"/>
      <c r="M32" s="348"/>
      <c r="N32" s="233"/>
      <c r="O32" s="267"/>
      <c r="P32" s="198"/>
      <c r="Q32" s="237"/>
      <c r="R32" s="198"/>
      <c r="S32" s="198"/>
      <c r="T32" s="198"/>
      <c r="U32" s="348"/>
      <c r="V32" s="29"/>
      <c r="W32" s="349"/>
    </row>
    <row r="33" spans="2:23">
      <c r="B33" s="302"/>
      <c r="D33" s="5" t="s">
        <v>57</v>
      </c>
      <c r="E33" s="357">
        <v>1395.4404881099958</v>
      </c>
      <c r="F33" s="233"/>
      <c r="G33" s="11" t="s">
        <v>238</v>
      </c>
      <c r="H33" s="197"/>
      <c r="I33" s="237">
        <f>IF(ISBLANK(M33),"",IF(ISBLANK(E33),"",M33-E33))</f>
        <v>-5.7906017178618185</v>
      </c>
      <c r="J33" s="237"/>
      <c r="K33" s="197"/>
      <c r="L33" s="197"/>
      <c r="M33" s="357">
        <f>Data!$C22</f>
        <v>1389.649886392134</v>
      </c>
      <c r="N33" s="233"/>
      <c r="O33" s="363"/>
      <c r="P33" s="197"/>
      <c r="Q33" s="237">
        <f>IF(ISBLANK(U33),"",IF(ISBLANK(M33),"",U33-M33))</f>
        <v>0</v>
      </c>
      <c r="R33" s="197"/>
      <c r="S33" s="197"/>
      <c r="T33" s="197"/>
      <c r="U33" s="357">
        <f>Data!$C22</f>
        <v>1389.649886392134</v>
      </c>
      <c r="V33" s="29"/>
      <c r="W33" s="365"/>
    </row>
    <row r="34" spans="2:23" ht="10.5" customHeight="1">
      <c r="B34" s="302"/>
      <c r="E34" s="237"/>
      <c r="F34" s="237"/>
      <c r="G34" s="198"/>
      <c r="H34" s="198"/>
      <c r="I34" s="237"/>
      <c r="J34" s="237"/>
      <c r="K34" s="198"/>
      <c r="L34" s="198"/>
      <c r="M34" s="198"/>
      <c r="N34" s="198"/>
      <c r="O34" s="198"/>
      <c r="P34" s="198"/>
      <c r="Q34" s="198"/>
      <c r="R34" s="198"/>
      <c r="S34" s="198"/>
      <c r="T34" s="198"/>
      <c r="U34" s="237"/>
      <c r="V34" s="21"/>
    </row>
    <row r="35" spans="2:23">
      <c r="B35" s="302"/>
      <c r="C35" s="20" t="s">
        <v>25</v>
      </c>
      <c r="D35" s="20"/>
      <c r="E35" s="230"/>
      <c r="F35" s="237"/>
      <c r="G35" s="197"/>
      <c r="H35" s="197"/>
      <c r="I35" s="230"/>
      <c r="J35" s="237"/>
      <c r="K35" s="197"/>
      <c r="L35" s="197"/>
      <c r="M35" s="197"/>
      <c r="N35" s="197"/>
      <c r="O35" s="197"/>
      <c r="P35" s="197"/>
      <c r="Q35" s="197"/>
      <c r="R35" s="197"/>
      <c r="S35" s="197"/>
      <c r="T35" s="197"/>
      <c r="U35" s="230"/>
      <c r="V35" s="21"/>
    </row>
    <row r="36" spans="2:23">
      <c r="B36" s="302"/>
      <c r="C36" s="5" t="s">
        <v>65</v>
      </c>
      <c r="E36" s="357">
        <v>13032.88066833308</v>
      </c>
      <c r="F36" s="233"/>
      <c r="G36" s="363"/>
      <c r="H36" s="197"/>
      <c r="I36" s="357">
        <f>Data!C25-E36</f>
        <v>0</v>
      </c>
      <c r="J36" s="233"/>
      <c r="K36" s="363"/>
      <c r="L36" s="197"/>
      <c r="M36" s="236">
        <f>IF(ISBLANK(E36),"",E36+I36)</f>
        <v>13032.88066833308</v>
      </c>
      <c r="N36" s="197"/>
      <c r="O36" s="197"/>
      <c r="P36" s="197"/>
      <c r="Q36" s="357"/>
      <c r="R36" s="233"/>
      <c r="S36" s="363"/>
      <c r="T36" s="197"/>
      <c r="U36" s="235">
        <f>IF(ISBLANK(E36),"",E36+I36+Q36)</f>
        <v>13032.88066833308</v>
      </c>
      <c r="V36" s="19"/>
    </row>
    <row r="37" spans="2:23">
      <c r="B37" s="302"/>
      <c r="C37" s="5" t="s">
        <v>143</v>
      </c>
      <c r="E37" s="357">
        <v>5211.3096815439585</v>
      </c>
      <c r="F37" s="233"/>
      <c r="G37" s="363"/>
      <c r="H37" s="197"/>
      <c r="I37" s="357">
        <f>Data!C26-E37</f>
        <v>-176.76388888888869</v>
      </c>
      <c r="J37" s="233"/>
      <c r="K37" s="363"/>
      <c r="L37" s="197"/>
      <c r="M37" s="236">
        <f>IF(ISBLANK(E37),"",E37+I37)</f>
        <v>5034.5457926550698</v>
      </c>
      <c r="N37" s="197"/>
      <c r="O37" s="197"/>
      <c r="P37" s="197"/>
      <c r="Q37" s="357"/>
      <c r="R37" s="233"/>
      <c r="S37" s="363"/>
      <c r="T37" s="197"/>
      <c r="U37" s="235">
        <f>IF(ISBLANK(E37),"",E37+I37+Q37)</f>
        <v>5034.5457926550698</v>
      </c>
      <c r="V37" s="19"/>
    </row>
    <row r="38" spans="2:23">
      <c r="B38" s="302"/>
      <c r="C38" s="5" t="s">
        <v>66</v>
      </c>
      <c r="E38" s="357">
        <v>168.47252681144457</v>
      </c>
      <c r="F38" s="233"/>
      <c r="G38" s="363"/>
      <c r="H38" s="197"/>
      <c r="I38" s="357">
        <f>Data!C27-E38</f>
        <v>0</v>
      </c>
      <c r="J38" s="233"/>
      <c r="K38" s="363"/>
      <c r="L38" s="197"/>
      <c r="M38" s="236">
        <f>IF(ISBLANK(E38),"",E38+I38)</f>
        <v>168.47252681144457</v>
      </c>
      <c r="N38" s="197"/>
      <c r="O38" s="197"/>
      <c r="P38" s="197"/>
      <c r="Q38" s="357"/>
      <c r="R38" s="233"/>
      <c r="S38" s="363"/>
      <c r="T38" s="197"/>
      <c r="U38" s="235">
        <f>IF(ISBLANK(E38),"",E38+I38+Q38)</f>
        <v>168.47252681144457</v>
      </c>
      <c r="V38" s="19"/>
    </row>
    <row r="39" spans="2:23" s="174" customFormat="1" ht="14.25" customHeight="1">
      <c r="B39" s="331"/>
      <c r="C39" s="174" t="s">
        <v>67</v>
      </c>
      <c r="E39" s="332" t="str">
        <f>IF(ISBLANK(E48),"",E48)</f>
        <v/>
      </c>
      <c r="F39" s="332"/>
      <c r="G39" s="333"/>
      <c r="H39" s="333"/>
      <c r="I39" s="334"/>
      <c r="J39" s="334"/>
      <c r="K39" s="335"/>
      <c r="L39" s="335"/>
      <c r="M39" s="332" t="str">
        <f>IF(ISBLANK(M48),"",M48)</f>
        <v/>
      </c>
      <c r="N39" s="335"/>
      <c r="O39" s="335"/>
      <c r="P39" s="335"/>
      <c r="Q39" s="334"/>
      <c r="R39" s="334"/>
      <c r="S39" s="335"/>
      <c r="T39" s="335"/>
      <c r="U39" s="332" t="str">
        <f>IF(ISBLANK(U48),"",U48)</f>
        <v/>
      </c>
      <c r="V39" s="336"/>
    </row>
    <row r="40" spans="2:23">
      <c r="B40" s="302"/>
      <c r="C40" s="5" t="s">
        <v>93</v>
      </c>
      <c r="E40" s="357">
        <v>32.478756907871151</v>
      </c>
      <c r="F40" s="233"/>
      <c r="G40" s="363"/>
      <c r="H40" s="197"/>
      <c r="I40" s="357">
        <f>Data!C29-E40</f>
        <v>0</v>
      </c>
      <c r="J40" s="233"/>
      <c r="K40" s="363"/>
      <c r="L40" s="197"/>
      <c r="M40" s="198">
        <f>IF(ISBLANK(E40),"",E40+I40)</f>
        <v>32.478756907871151</v>
      </c>
      <c r="N40" s="197"/>
      <c r="O40" s="197"/>
      <c r="P40" s="197"/>
      <c r="Q40" s="357"/>
      <c r="R40" s="233"/>
      <c r="S40" s="363"/>
      <c r="T40" s="197"/>
      <c r="U40" s="235">
        <f>IF(ISBLANK(E40),"",E40+I40+Q40)</f>
        <v>32.478756907871151</v>
      </c>
      <c r="V40" s="19"/>
    </row>
    <row r="41" spans="2:23" ht="9.75" customHeight="1">
      <c r="B41" s="302"/>
      <c r="E41" s="230"/>
      <c r="F41" s="237"/>
      <c r="G41" s="197"/>
      <c r="H41" s="197"/>
      <c r="I41" s="230"/>
      <c r="J41" s="237"/>
      <c r="K41" s="197"/>
      <c r="L41" s="197"/>
      <c r="M41" s="197"/>
      <c r="N41" s="197"/>
      <c r="O41" s="197"/>
      <c r="P41" s="197"/>
      <c r="Q41" s="197"/>
      <c r="R41" s="197"/>
      <c r="S41" s="197"/>
      <c r="T41" s="197"/>
      <c r="U41" s="230"/>
      <c r="V41" s="21"/>
    </row>
    <row r="42" spans="2:23">
      <c r="B42" s="301">
        <v>3</v>
      </c>
      <c r="C42" s="27" t="s">
        <v>6</v>
      </c>
      <c r="D42" s="27"/>
      <c r="E42" s="230"/>
      <c r="F42" s="237"/>
      <c r="G42" s="197"/>
      <c r="H42" s="197"/>
      <c r="I42" s="230"/>
      <c r="J42" s="237"/>
      <c r="K42" s="197"/>
      <c r="L42" s="197"/>
      <c r="M42" s="197"/>
      <c r="N42" s="197"/>
      <c r="O42" s="197"/>
      <c r="P42" s="197"/>
      <c r="Q42" s="197"/>
      <c r="R42" s="197"/>
      <c r="S42" s="197"/>
      <c r="T42" s="197"/>
      <c r="U42" s="230"/>
      <c r="V42" s="21"/>
    </row>
    <row r="43" spans="2:23">
      <c r="B43" s="302"/>
      <c r="C43" s="5" t="s">
        <v>72</v>
      </c>
      <c r="E43" s="230"/>
      <c r="F43" s="237"/>
      <c r="G43" s="197"/>
      <c r="H43" s="197"/>
      <c r="I43" s="230"/>
      <c r="J43" s="237"/>
      <c r="K43" s="197"/>
      <c r="L43" s="197"/>
      <c r="M43" s="197"/>
      <c r="N43" s="197"/>
      <c r="O43" s="197"/>
      <c r="P43" s="197"/>
      <c r="Q43" s="197"/>
      <c r="R43" s="197"/>
      <c r="S43" s="197"/>
      <c r="T43" s="197"/>
      <c r="U43" s="230"/>
      <c r="V43" s="21"/>
    </row>
    <row r="44" spans="2:23" ht="26.25" customHeight="1">
      <c r="B44" s="302"/>
      <c r="C44" s="28"/>
      <c r="D44" s="28" t="s">
        <v>146</v>
      </c>
      <c r="E44" s="357">
        <v>-2796.4609740625165</v>
      </c>
      <c r="F44" s="233"/>
      <c r="G44" s="11" t="s">
        <v>98</v>
      </c>
      <c r="H44" s="11"/>
      <c r="I44" s="235"/>
      <c r="J44" s="235"/>
      <c r="K44" s="197"/>
      <c r="L44" s="197"/>
      <c r="M44" s="357">
        <f>Data!$C33</f>
        <v>-2385.6248629514048</v>
      </c>
      <c r="N44" s="233"/>
      <c r="O44" s="362"/>
      <c r="P44" s="197"/>
      <c r="Q44" s="197"/>
      <c r="R44" s="197"/>
      <c r="S44" s="197"/>
      <c r="T44" s="197"/>
      <c r="U44" s="357"/>
      <c r="V44" s="29"/>
      <c r="W44" s="365"/>
    </row>
    <row r="45" spans="2:23">
      <c r="B45" s="302"/>
      <c r="C45" s="20" t="s">
        <v>73</v>
      </c>
      <c r="D45" s="20"/>
      <c r="E45" s="230"/>
      <c r="F45" s="237"/>
      <c r="G45" s="197"/>
      <c r="H45" s="197"/>
      <c r="I45" s="230"/>
      <c r="J45" s="237"/>
      <c r="K45" s="197"/>
      <c r="L45" s="197"/>
      <c r="M45" s="230"/>
      <c r="N45" s="237"/>
      <c r="O45" s="197"/>
      <c r="P45" s="197"/>
      <c r="Q45" s="197"/>
      <c r="R45" s="197"/>
      <c r="S45" s="197"/>
      <c r="T45" s="197"/>
      <c r="U45" s="230"/>
      <c r="V45" s="21"/>
    </row>
    <row r="46" spans="2:23">
      <c r="B46" s="302"/>
      <c r="C46" s="5" t="s">
        <v>125</v>
      </c>
      <c r="E46" s="357">
        <v>374.52610151207136</v>
      </c>
      <c r="F46" s="233"/>
      <c r="G46" s="363"/>
      <c r="H46" s="197"/>
      <c r="I46" s="230"/>
      <c r="J46" s="237"/>
      <c r="K46" s="197"/>
      <c r="L46" s="197"/>
      <c r="M46" s="357">
        <f>Data!$C35</f>
        <v>352.88180143381874</v>
      </c>
      <c r="N46" s="233"/>
      <c r="O46" s="363"/>
      <c r="P46" s="197"/>
      <c r="Q46" s="197"/>
      <c r="R46" s="197"/>
      <c r="S46" s="197"/>
      <c r="T46" s="197"/>
      <c r="U46" s="357"/>
      <c r="V46" s="29"/>
      <c r="W46" s="365"/>
    </row>
    <row r="47" spans="2:23">
      <c r="B47" s="302"/>
      <c r="C47" s="20" t="s">
        <v>126</v>
      </c>
      <c r="D47" s="20"/>
      <c r="E47" s="233">
        <f>IF(ISBLANK(E46),"",E46/(1-SUM(E49:E50)))</f>
        <v>496.1205704473133</v>
      </c>
      <c r="F47" s="233"/>
      <c r="G47" s="241"/>
      <c r="H47" s="241"/>
      <c r="I47" s="242"/>
      <c r="J47" s="242"/>
      <c r="K47" s="241"/>
      <c r="L47" s="241"/>
      <c r="M47" s="233">
        <f>IF(ISBLANK(M46),"",M46/(1-SUM(M49:M50)))</f>
        <v>466.84926741086099</v>
      </c>
      <c r="N47" s="233"/>
      <c r="O47" s="241"/>
      <c r="P47" s="241"/>
      <c r="Q47" s="241"/>
      <c r="R47" s="241"/>
      <c r="S47" s="241"/>
      <c r="T47" s="241"/>
      <c r="U47" s="233" t="str">
        <f>IF(ISBLANK(U46),"",U46/(1-SUM(U49:U50)))</f>
        <v/>
      </c>
      <c r="V47" s="29"/>
    </row>
    <row r="48" spans="2:23" ht="0.75" customHeight="1">
      <c r="B48" s="302"/>
      <c r="C48" s="174" t="s">
        <v>87</v>
      </c>
      <c r="D48" s="176"/>
      <c r="E48" s="233"/>
      <c r="F48" s="233"/>
      <c r="G48" s="243"/>
      <c r="H48" s="197"/>
      <c r="I48" s="230"/>
      <c r="J48" s="237"/>
      <c r="K48" s="197"/>
      <c r="L48" s="197"/>
      <c r="M48" s="233"/>
      <c r="N48" s="233"/>
      <c r="O48" s="243"/>
      <c r="P48" s="197"/>
      <c r="Q48" s="197"/>
      <c r="R48" s="197"/>
      <c r="S48" s="197"/>
      <c r="T48" s="197"/>
      <c r="U48" s="239"/>
      <c r="V48" s="29"/>
      <c r="W48" s="181"/>
    </row>
    <row r="49" spans="2:23">
      <c r="B49" s="302"/>
      <c r="C49" s="5" t="s">
        <v>83</v>
      </c>
      <c r="E49" s="358">
        <v>0.15000000000000002</v>
      </c>
      <c r="F49" s="239"/>
      <c r="G49" s="363"/>
      <c r="H49" s="197"/>
      <c r="I49" s="197"/>
      <c r="J49" s="198"/>
      <c r="K49" s="197"/>
      <c r="L49" s="197"/>
      <c r="M49" s="358">
        <f>Data!$C38</f>
        <v>0.15000000000000002</v>
      </c>
      <c r="N49" s="239"/>
      <c r="O49" s="363"/>
      <c r="P49" s="197"/>
      <c r="Q49" s="197"/>
      <c r="R49" s="197"/>
      <c r="S49" s="197"/>
      <c r="T49" s="197"/>
      <c r="U49" s="358"/>
      <c r="V49" s="179"/>
      <c r="W49" s="365"/>
    </row>
    <row r="50" spans="2:23">
      <c r="B50" s="302"/>
      <c r="C50" s="5" t="s">
        <v>84</v>
      </c>
      <c r="E50" s="358">
        <v>9.5090561001350327E-2</v>
      </c>
      <c r="F50" s="239"/>
      <c r="G50" s="363"/>
      <c r="H50" s="197"/>
      <c r="I50" s="197"/>
      <c r="J50" s="198"/>
      <c r="K50" s="197"/>
      <c r="L50" s="197"/>
      <c r="M50" s="358">
        <f>Data!$C39</f>
        <v>9.4120477277610651E-2</v>
      </c>
      <c r="N50" s="239"/>
      <c r="O50" s="363"/>
      <c r="P50" s="197"/>
      <c r="Q50" s="197"/>
      <c r="R50" s="197"/>
      <c r="S50" s="197"/>
      <c r="T50" s="197"/>
      <c r="U50" s="358"/>
      <c r="V50" s="179"/>
      <c r="W50" s="365"/>
    </row>
    <row r="51" spans="2:23">
      <c r="B51" s="302"/>
      <c r="C51" s="31" t="s">
        <v>116</v>
      </c>
      <c r="D51" s="31"/>
      <c r="E51" s="357">
        <v>-56.333333333333336</v>
      </c>
      <c r="F51" s="233"/>
      <c r="G51" s="363"/>
      <c r="H51" s="197"/>
      <c r="I51" s="197"/>
      <c r="J51" s="198"/>
      <c r="K51" s="197"/>
      <c r="L51" s="197"/>
      <c r="M51" s="357">
        <f>Data!$C40</f>
        <v>-56.333333333333336</v>
      </c>
      <c r="N51" s="233"/>
      <c r="O51" s="363"/>
      <c r="P51" s="197"/>
      <c r="Q51" s="197"/>
      <c r="R51" s="197"/>
      <c r="S51" s="197"/>
      <c r="T51" s="197"/>
      <c r="U51" s="357"/>
      <c r="V51" s="29"/>
      <c r="W51" s="365"/>
    </row>
    <row r="52" spans="2:23" ht="10.5" customHeight="1">
      <c r="B52" s="302"/>
      <c r="C52" s="5" t="s">
        <v>60</v>
      </c>
      <c r="E52" s="197"/>
      <c r="F52" s="198"/>
      <c r="G52" s="197"/>
      <c r="H52" s="197"/>
      <c r="I52" s="197"/>
      <c r="J52" s="198"/>
      <c r="K52" s="197"/>
      <c r="L52" s="197"/>
      <c r="M52" s="197"/>
      <c r="N52" s="198"/>
      <c r="O52" s="197"/>
      <c r="P52" s="197"/>
      <c r="Q52" s="197"/>
      <c r="R52" s="197"/>
      <c r="S52" s="197"/>
      <c r="T52" s="197"/>
      <c r="U52" s="197"/>
      <c r="V52" s="26"/>
    </row>
    <row r="53" spans="2:23">
      <c r="B53" s="301">
        <v>4</v>
      </c>
      <c r="C53" s="27" t="s">
        <v>50</v>
      </c>
      <c r="D53" s="27"/>
      <c r="E53" s="197"/>
      <c r="F53" s="198"/>
      <c r="G53" s="197"/>
      <c r="H53" s="197"/>
      <c r="I53" s="197"/>
      <c r="J53" s="198"/>
      <c r="K53" s="197"/>
      <c r="L53" s="197"/>
      <c r="M53" s="197"/>
      <c r="N53" s="198"/>
      <c r="O53" s="197"/>
      <c r="P53" s="197"/>
      <c r="Q53" s="197"/>
      <c r="R53" s="197"/>
      <c r="S53" s="197"/>
      <c r="T53" s="197"/>
      <c r="U53" s="197"/>
      <c r="V53" s="26"/>
    </row>
    <row r="54" spans="2:23">
      <c r="C54" s="20" t="s">
        <v>88</v>
      </c>
      <c r="D54" s="20"/>
      <c r="E54" s="197"/>
      <c r="F54" s="198"/>
      <c r="G54" s="197"/>
      <c r="H54" s="197"/>
      <c r="I54" s="197"/>
      <c r="J54" s="198"/>
      <c r="K54" s="197"/>
      <c r="L54" s="197"/>
      <c r="M54" s="197"/>
      <c r="N54" s="198"/>
      <c r="O54" s="197"/>
      <c r="P54" s="197"/>
      <c r="Q54" s="197"/>
      <c r="R54" s="197"/>
      <c r="S54" s="197"/>
      <c r="T54" s="197"/>
      <c r="U54" s="197"/>
      <c r="V54" s="26"/>
    </row>
    <row r="55" spans="2:23">
      <c r="C55" s="5" t="s">
        <v>74</v>
      </c>
      <c r="E55" s="359">
        <v>0.56000000000000005</v>
      </c>
      <c r="F55" s="244"/>
      <c r="G55" s="363"/>
      <c r="H55" s="197"/>
      <c r="I55" s="197"/>
      <c r="J55" s="198"/>
      <c r="K55" s="197"/>
      <c r="L55" s="197"/>
      <c r="M55" s="359">
        <f>Data!$C44</f>
        <v>0.56000000000000005</v>
      </c>
      <c r="N55" s="244"/>
      <c r="O55" s="363"/>
      <c r="P55" s="197"/>
      <c r="Q55" s="197"/>
      <c r="R55" s="197"/>
      <c r="S55" s="197"/>
      <c r="T55" s="197"/>
      <c r="U55" s="359">
        <f>Data!$C44</f>
        <v>0.56000000000000005</v>
      </c>
      <c r="V55" s="182"/>
      <c r="W55" s="365"/>
    </row>
    <row r="56" spans="2:23">
      <c r="C56" s="5" t="s">
        <v>75</v>
      </c>
      <c r="E56" s="359">
        <v>0.04</v>
      </c>
      <c r="F56" s="244"/>
      <c r="G56" s="11" t="s">
        <v>244</v>
      </c>
      <c r="H56" s="11"/>
      <c r="I56" s="197"/>
      <c r="J56" s="198"/>
      <c r="K56" s="197"/>
      <c r="L56" s="197"/>
      <c r="M56" s="359">
        <f>Data!$C45</f>
        <v>0.04</v>
      </c>
      <c r="N56" s="244"/>
      <c r="O56" s="11" t="s">
        <v>244</v>
      </c>
      <c r="P56" s="197"/>
      <c r="Q56" s="197"/>
      <c r="R56" s="197"/>
      <c r="S56" s="197"/>
      <c r="T56" s="197"/>
      <c r="U56" s="359">
        <f>Data!$C45</f>
        <v>0.04</v>
      </c>
      <c r="V56" s="182"/>
      <c r="W56" s="18" t="s">
        <v>244</v>
      </c>
    </row>
    <row r="57" spans="2:23">
      <c r="C57" s="5" t="s">
        <v>76</v>
      </c>
      <c r="E57" s="359">
        <v>0.39999999999999991</v>
      </c>
      <c r="F57" s="244"/>
      <c r="G57" s="390"/>
      <c r="H57" s="197"/>
      <c r="I57" s="197"/>
      <c r="J57" s="198"/>
      <c r="K57" s="197"/>
      <c r="L57" s="197"/>
      <c r="M57" s="360">
        <f>Data!$C46</f>
        <v>0.39999999999999991</v>
      </c>
      <c r="N57" s="244"/>
      <c r="O57" s="363"/>
      <c r="P57" s="197"/>
      <c r="Q57" s="197"/>
      <c r="R57" s="197"/>
      <c r="S57" s="197"/>
      <c r="T57" s="197"/>
      <c r="U57" s="359">
        <f>Data!$C46</f>
        <v>0.39999999999999991</v>
      </c>
      <c r="V57" s="182"/>
      <c r="W57" s="365"/>
    </row>
    <row r="58" spans="2:23" ht="13.5" thickBot="1">
      <c r="C58" s="5" t="s">
        <v>77</v>
      </c>
      <c r="E58" s="360">
        <v>0</v>
      </c>
      <c r="F58" s="244"/>
      <c r="G58" s="363"/>
      <c r="H58" s="197"/>
      <c r="I58" s="197"/>
      <c r="J58" s="198"/>
      <c r="K58" s="197"/>
      <c r="L58" s="197"/>
      <c r="M58" s="360"/>
      <c r="N58" s="244"/>
      <c r="O58" s="363"/>
      <c r="P58" s="197"/>
      <c r="Q58" s="197"/>
      <c r="R58" s="197"/>
      <c r="S58" s="197"/>
      <c r="T58" s="197"/>
      <c r="U58" s="360">
        <f>Data!$C47</f>
        <v>0</v>
      </c>
      <c r="V58" s="182"/>
      <c r="W58" s="365"/>
    </row>
    <row r="59" spans="2:23" ht="13.5" thickTop="1">
      <c r="E59" s="245">
        <f>SUM(E55:E58)</f>
        <v>1</v>
      </c>
      <c r="F59" s="244"/>
      <c r="G59" s="240"/>
      <c r="H59" s="198"/>
      <c r="I59" s="198"/>
      <c r="J59" s="198"/>
      <c r="K59" s="198"/>
      <c r="L59" s="198"/>
      <c r="M59" s="245">
        <f>SUM(M55:M58)</f>
        <v>1</v>
      </c>
      <c r="N59" s="244"/>
      <c r="O59" s="240"/>
      <c r="P59" s="198"/>
      <c r="Q59" s="198"/>
      <c r="R59" s="198"/>
      <c r="S59" s="198"/>
      <c r="T59" s="198"/>
      <c r="U59" s="245">
        <f>SUM(U55:U58)</f>
        <v>1</v>
      </c>
      <c r="V59" s="182"/>
      <c r="W59" s="180"/>
    </row>
    <row r="60" spans="2:23" ht="25.5" customHeight="1">
      <c r="E60" s="246" t="str">
        <f>IF(ISBLANK(E57),"",IF(SUM(E55:E58)=100%,"","Capital Structure must total 100%"))</f>
        <v/>
      </c>
      <c r="F60" s="246"/>
      <c r="G60" s="247"/>
      <c r="H60" s="247"/>
      <c r="I60" s="247"/>
      <c r="J60" s="247"/>
      <c r="K60" s="247"/>
      <c r="L60" s="247"/>
      <c r="M60" s="246" t="str">
        <f>IF(ISBLANK(M57),"",IF(SUM(M55:M58)=100%,"","Capital Structure must total 100%"))</f>
        <v/>
      </c>
      <c r="N60" s="247"/>
      <c r="O60" s="247"/>
      <c r="P60" s="247"/>
      <c r="Q60" s="247"/>
      <c r="R60" s="247"/>
      <c r="S60" s="247"/>
      <c r="T60" s="247"/>
      <c r="U60" s="246" t="str">
        <f>IF(ISBLANK(U57),"",IF(SUM(U55:U58)=100%,"","Capital Structure must total 100%"))</f>
        <v/>
      </c>
      <c r="V60" s="32"/>
    </row>
    <row r="61" spans="2:23">
      <c r="C61" s="20" t="s">
        <v>89</v>
      </c>
      <c r="D61" s="20"/>
      <c r="E61" s="197"/>
      <c r="F61" s="198"/>
      <c r="G61" s="197"/>
      <c r="H61" s="197"/>
      <c r="I61" s="197"/>
      <c r="J61" s="198"/>
      <c r="K61" s="197"/>
      <c r="L61" s="197"/>
      <c r="M61" s="197"/>
      <c r="N61" s="197"/>
      <c r="O61" s="197"/>
      <c r="P61" s="197"/>
      <c r="Q61" s="197"/>
      <c r="R61" s="197"/>
      <c r="S61" s="197"/>
      <c r="T61" s="197"/>
      <c r="U61" s="197"/>
      <c r="V61" s="26"/>
    </row>
    <row r="62" spans="2:23">
      <c r="C62" s="5" t="s">
        <v>78</v>
      </c>
      <c r="E62" s="361">
        <v>4.0257509989259838E-2</v>
      </c>
      <c r="F62" s="248"/>
      <c r="G62" s="363"/>
      <c r="H62" s="197"/>
      <c r="I62" s="197"/>
      <c r="J62" s="198"/>
      <c r="K62" s="197"/>
      <c r="L62" s="197"/>
      <c r="M62" s="361">
        <f>Data!$C51</f>
        <v>3.4764162645532698E-2</v>
      </c>
      <c r="N62" s="248"/>
      <c r="O62" s="363"/>
      <c r="P62" s="197"/>
      <c r="Q62" s="197"/>
      <c r="R62" s="197"/>
      <c r="S62" s="197"/>
      <c r="T62" s="197"/>
      <c r="U62" s="361">
        <f>Data!$C51</f>
        <v>3.4764162645532698E-2</v>
      </c>
      <c r="V62" s="183"/>
      <c r="W62" s="365"/>
    </row>
    <row r="63" spans="2:23">
      <c r="C63" s="5" t="s">
        <v>79</v>
      </c>
      <c r="E63" s="361">
        <v>1.6500000000000001E-2</v>
      </c>
      <c r="F63" s="248"/>
      <c r="G63" s="363"/>
      <c r="H63" s="197"/>
      <c r="I63" s="197"/>
      <c r="J63" s="198"/>
      <c r="K63" s="197"/>
      <c r="L63" s="197"/>
      <c r="M63" s="361">
        <f>Data!$C52</f>
        <v>1.7600000000000001E-2</v>
      </c>
      <c r="N63" s="248"/>
      <c r="O63" s="363"/>
      <c r="P63" s="197"/>
      <c r="Q63" s="197"/>
      <c r="R63" s="197"/>
      <c r="S63" s="197"/>
      <c r="T63" s="197"/>
      <c r="U63" s="361">
        <f>Data!$C52</f>
        <v>1.7600000000000001E-2</v>
      </c>
      <c r="V63" s="183"/>
      <c r="W63" s="365"/>
    </row>
    <row r="64" spans="2:23">
      <c r="C64" s="5" t="s">
        <v>80</v>
      </c>
      <c r="E64" s="361">
        <v>9.1899999999999996E-2</v>
      </c>
      <c r="F64" s="248"/>
      <c r="G64" s="363"/>
      <c r="H64" s="197"/>
      <c r="I64" s="197"/>
      <c r="J64" s="198"/>
      <c r="K64" s="197"/>
      <c r="L64" s="197"/>
      <c r="M64" s="361">
        <f>Data!$C53</f>
        <v>8.7800000000000003E-2</v>
      </c>
      <c r="N64" s="248"/>
      <c r="O64" s="363"/>
      <c r="P64" s="197"/>
      <c r="Q64" s="197"/>
      <c r="R64" s="197"/>
      <c r="S64" s="197"/>
      <c r="T64" s="197"/>
      <c r="U64" s="361">
        <f>Data!$C53</f>
        <v>8.7800000000000003E-2</v>
      </c>
      <c r="V64" s="183"/>
      <c r="W64" s="365"/>
    </row>
    <row r="65" spans="1:24">
      <c r="C65" s="5" t="s">
        <v>81</v>
      </c>
      <c r="E65" s="361">
        <v>0</v>
      </c>
      <c r="F65" s="248"/>
      <c r="G65" s="363"/>
      <c r="H65" s="197"/>
      <c r="I65" s="197"/>
      <c r="J65" s="198"/>
      <c r="K65" s="197"/>
      <c r="L65" s="197"/>
      <c r="M65" s="361">
        <f>Data!$C54</f>
        <v>0</v>
      </c>
      <c r="N65" s="248"/>
      <c r="O65" s="363"/>
      <c r="P65" s="197"/>
      <c r="Q65" s="197"/>
      <c r="R65" s="197"/>
      <c r="S65" s="197"/>
      <c r="T65" s="197"/>
      <c r="U65" s="361">
        <f>Data!$C54</f>
        <v>0</v>
      </c>
      <c r="V65" s="183"/>
      <c r="W65" s="365"/>
    </row>
    <row r="66" spans="1:24">
      <c r="D66" s="26"/>
      <c r="E66" s="356"/>
      <c r="F66" s="248"/>
      <c r="G66" s="267"/>
      <c r="H66" s="198"/>
      <c r="I66" s="198"/>
      <c r="J66" s="198"/>
      <c r="K66" s="198"/>
      <c r="L66" s="198"/>
      <c r="M66" s="356"/>
      <c r="N66" s="248"/>
      <c r="O66" s="267"/>
      <c r="P66" s="198"/>
      <c r="Q66" s="198"/>
      <c r="R66" s="198"/>
      <c r="S66" s="198"/>
      <c r="T66" s="198"/>
      <c r="U66" s="356"/>
      <c r="V66" s="183"/>
      <c r="W66" s="349"/>
      <c r="X66" s="26"/>
    </row>
    <row r="67" spans="1:24" ht="10.5" customHeight="1"/>
    <row r="68" spans="1:24">
      <c r="A68" s="4" t="s">
        <v>42</v>
      </c>
      <c r="B68" s="4"/>
      <c r="C68" s="4"/>
      <c r="D68" s="4"/>
    </row>
    <row r="69" spans="1:24" ht="39" customHeight="1">
      <c r="B69" s="352" t="s">
        <v>243</v>
      </c>
      <c r="C69" s="519" t="s">
        <v>248</v>
      </c>
      <c r="D69" s="519"/>
      <c r="E69" s="519"/>
      <c r="F69" s="519"/>
      <c r="G69" s="519"/>
      <c r="H69" s="519"/>
      <c r="I69" s="519"/>
      <c r="J69" s="519"/>
      <c r="K69" s="520"/>
      <c r="L69" s="520"/>
      <c r="M69" s="520"/>
      <c r="N69" s="520"/>
      <c r="O69" s="520"/>
      <c r="P69" s="520"/>
      <c r="Q69" s="520"/>
      <c r="R69" s="520"/>
      <c r="S69" s="520"/>
      <c r="T69" s="520"/>
      <c r="U69" s="520"/>
      <c r="V69" s="28"/>
    </row>
    <row r="70" spans="1:24">
      <c r="B70" s="303" t="s">
        <v>2</v>
      </c>
      <c r="C70" s="532" t="s">
        <v>90</v>
      </c>
      <c r="D70" s="532"/>
      <c r="E70" s="532"/>
      <c r="F70" s="532"/>
      <c r="G70" s="532"/>
      <c r="H70" s="532"/>
      <c r="I70" s="532"/>
      <c r="J70" s="532"/>
      <c r="K70" s="532"/>
      <c r="L70" s="532"/>
      <c r="M70" s="532"/>
      <c r="N70" s="532"/>
      <c r="O70" s="532"/>
      <c r="P70" s="532"/>
      <c r="Q70" s="532"/>
      <c r="R70" s="532"/>
      <c r="S70" s="532"/>
      <c r="T70" s="532"/>
      <c r="U70" s="532"/>
      <c r="V70" s="43"/>
    </row>
    <row r="71" spans="1:24" ht="27" customHeight="1">
      <c r="B71" s="303" t="s">
        <v>3</v>
      </c>
      <c r="C71" s="530" t="s">
        <v>245</v>
      </c>
      <c r="D71" s="530"/>
      <c r="E71" s="530"/>
      <c r="F71" s="530"/>
      <c r="G71" s="530"/>
      <c r="H71" s="530"/>
      <c r="I71" s="530"/>
      <c r="J71" s="530"/>
      <c r="K71" s="530"/>
      <c r="L71" s="530"/>
      <c r="M71" s="530"/>
      <c r="N71" s="530"/>
      <c r="O71" s="530"/>
      <c r="P71" s="530"/>
      <c r="Q71" s="530"/>
      <c r="R71" s="530"/>
      <c r="S71" s="530"/>
      <c r="T71" s="530"/>
      <c r="U71" s="530"/>
      <c r="V71" s="15"/>
    </row>
    <row r="72" spans="1:24">
      <c r="B72" s="303" t="s">
        <v>98</v>
      </c>
      <c r="C72" s="531" t="s">
        <v>99</v>
      </c>
      <c r="D72" s="531"/>
      <c r="E72" s="531"/>
      <c r="F72" s="531"/>
      <c r="G72" s="531"/>
      <c r="H72" s="531"/>
      <c r="I72" s="531"/>
      <c r="J72" s="531"/>
      <c r="K72" s="531"/>
      <c r="L72" s="531"/>
      <c r="M72" s="531"/>
      <c r="N72" s="531"/>
      <c r="O72" s="531"/>
      <c r="P72" s="531"/>
      <c r="Q72" s="531"/>
      <c r="R72" s="531"/>
      <c r="S72" s="531"/>
      <c r="T72" s="531"/>
      <c r="U72" s="531"/>
      <c r="V72" s="15"/>
    </row>
    <row r="73" spans="1:24">
      <c r="B73" s="303" t="s">
        <v>122</v>
      </c>
      <c r="C73" s="534" t="s">
        <v>124</v>
      </c>
      <c r="D73" s="534"/>
      <c r="E73" s="534"/>
      <c r="F73" s="534"/>
      <c r="G73" s="534"/>
      <c r="H73" s="534"/>
      <c r="I73" s="534"/>
      <c r="J73" s="534"/>
      <c r="K73" s="534"/>
      <c r="L73" s="534"/>
      <c r="M73" s="534"/>
      <c r="N73" s="534"/>
      <c r="O73" s="534"/>
      <c r="P73" s="534"/>
      <c r="Q73" s="534"/>
      <c r="R73" s="534"/>
      <c r="S73" s="534"/>
      <c r="T73" s="534"/>
      <c r="U73" s="534"/>
      <c r="V73" s="28"/>
    </row>
    <row r="74" spans="1:24">
      <c r="B74" s="303" t="s">
        <v>123</v>
      </c>
      <c r="C74" s="531" t="s">
        <v>135</v>
      </c>
      <c r="D74" s="531"/>
      <c r="E74" s="531"/>
      <c r="F74" s="531"/>
      <c r="G74" s="531"/>
      <c r="H74" s="531"/>
      <c r="I74" s="531"/>
      <c r="J74" s="531"/>
      <c r="K74" s="531"/>
      <c r="L74" s="531"/>
      <c r="M74" s="531"/>
      <c r="N74" s="531"/>
      <c r="O74" s="531"/>
      <c r="P74" s="531"/>
      <c r="Q74" s="531"/>
      <c r="R74" s="531"/>
      <c r="S74" s="531"/>
      <c r="T74" s="531"/>
      <c r="U74" s="531"/>
      <c r="V74" s="15"/>
    </row>
    <row r="75" spans="1:24" ht="26.25" customHeight="1">
      <c r="B75" s="304" t="s">
        <v>147</v>
      </c>
      <c r="C75" s="533" t="s">
        <v>229</v>
      </c>
      <c r="D75" s="533"/>
      <c r="E75" s="533"/>
      <c r="F75" s="533"/>
      <c r="G75" s="533"/>
      <c r="H75" s="533"/>
      <c r="I75" s="533"/>
      <c r="J75" s="533"/>
      <c r="K75" s="533"/>
      <c r="L75" s="533"/>
      <c r="M75" s="533"/>
      <c r="N75" s="533"/>
      <c r="O75" s="533"/>
      <c r="P75" s="533"/>
      <c r="Q75" s="533"/>
      <c r="R75" s="533"/>
      <c r="S75" s="533"/>
      <c r="T75" s="533"/>
      <c r="U75" s="533"/>
      <c r="V75" s="184"/>
    </row>
    <row r="76" spans="1:24">
      <c r="B76" s="304" t="s">
        <v>238</v>
      </c>
      <c r="C76" s="519" t="s">
        <v>239</v>
      </c>
      <c r="D76" s="519"/>
      <c r="E76" s="519"/>
      <c r="F76" s="519"/>
      <c r="G76" s="519"/>
      <c r="H76" s="519"/>
      <c r="I76" s="519"/>
      <c r="J76" s="519"/>
      <c r="K76" s="519"/>
      <c r="L76" s="519"/>
      <c r="M76" s="519"/>
      <c r="N76" s="519"/>
      <c r="O76" s="519"/>
      <c r="P76" s="519"/>
      <c r="Q76" s="519"/>
      <c r="R76" s="519"/>
      <c r="S76" s="519"/>
      <c r="T76" s="519"/>
      <c r="U76" s="519"/>
      <c r="V76" s="184"/>
    </row>
    <row r="77" spans="1:24">
      <c r="B77" s="304" t="s">
        <v>244</v>
      </c>
      <c r="C77" s="531" t="s">
        <v>92</v>
      </c>
      <c r="D77" s="531"/>
      <c r="E77" s="531"/>
      <c r="F77" s="531"/>
      <c r="G77" s="531"/>
      <c r="H77" s="531"/>
      <c r="I77" s="531"/>
      <c r="J77" s="531"/>
      <c r="K77" s="531"/>
      <c r="L77" s="531"/>
      <c r="M77" s="531"/>
      <c r="N77" s="531"/>
      <c r="O77" s="531"/>
      <c r="P77" s="531"/>
      <c r="Q77" s="531"/>
      <c r="R77" s="531"/>
      <c r="S77" s="531"/>
      <c r="T77" s="531"/>
      <c r="U77" s="531"/>
      <c r="V77" s="184"/>
    </row>
    <row r="78" spans="1:24">
      <c r="B78" s="304" t="s">
        <v>246</v>
      </c>
      <c r="C78" s="515" t="s">
        <v>247</v>
      </c>
      <c r="D78" s="515"/>
      <c r="E78" s="515"/>
      <c r="F78" s="515"/>
      <c r="G78" s="515"/>
      <c r="H78" s="515"/>
      <c r="I78" s="515"/>
      <c r="J78" s="515"/>
      <c r="K78" s="515"/>
      <c r="L78" s="515"/>
      <c r="M78" s="515"/>
      <c r="N78" s="515"/>
      <c r="O78" s="515"/>
      <c r="P78" s="515"/>
      <c r="Q78" s="515"/>
      <c r="R78" s="515"/>
      <c r="S78" s="515"/>
      <c r="T78" s="515"/>
      <c r="U78" s="515"/>
      <c r="V78" s="184"/>
    </row>
    <row r="79" spans="1:24">
      <c r="B79" s="353"/>
      <c r="C79" s="515"/>
      <c r="D79" s="515"/>
      <c r="E79" s="515"/>
      <c r="F79" s="515"/>
      <c r="G79" s="515"/>
      <c r="H79" s="515"/>
      <c r="I79" s="515"/>
      <c r="J79" s="515"/>
      <c r="K79" s="515"/>
      <c r="L79" s="515"/>
      <c r="M79" s="515"/>
      <c r="N79" s="515"/>
      <c r="O79" s="515"/>
      <c r="P79" s="515"/>
      <c r="Q79" s="515"/>
      <c r="R79" s="515"/>
      <c r="S79" s="515"/>
      <c r="T79" s="515"/>
      <c r="U79" s="515"/>
      <c r="V79" s="184"/>
    </row>
    <row r="80" spans="1:24">
      <c r="B80" s="366"/>
      <c r="C80" s="514"/>
      <c r="D80" s="514"/>
      <c r="E80" s="514"/>
      <c r="F80" s="514"/>
      <c r="G80" s="514"/>
      <c r="H80" s="514"/>
      <c r="I80" s="514"/>
      <c r="J80" s="514"/>
      <c r="K80" s="514"/>
      <c r="L80" s="514"/>
      <c r="M80" s="514"/>
      <c r="N80" s="514"/>
      <c r="O80" s="514"/>
      <c r="P80" s="514"/>
      <c r="Q80" s="514"/>
      <c r="R80" s="514"/>
      <c r="S80" s="514"/>
      <c r="T80" s="514"/>
      <c r="U80" s="514"/>
      <c r="V80" s="184"/>
    </row>
    <row r="81" spans="2:22">
      <c r="B81" s="366"/>
      <c r="C81" s="514"/>
      <c r="D81" s="514"/>
      <c r="E81" s="514"/>
      <c r="F81" s="514"/>
      <c r="G81" s="514"/>
      <c r="H81" s="514"/>
      <c r="I81" s="514"/>
      <c r="J81" s="514"/>
      <c r="K81" s="514"/>
      <c r="L81" s="514"/>
      <c r="M81" s="514"/>
      <c r="N81" s="514"/>
      <c r="O81" s="514"/>
      <c r="P81" s="514"/>
      <c r="Q81" s="514"/>
      <c r="R81" s="514"/>
      <c r="S81" s="514"/>
      <c r="T81" s="514"/>
      <c r="U81" s="514"/>
      <c r="V81" s="184"/>
    </row>
    <row r="82" spans="2:22">
      <c r="B82" s="366"/>
      <c r="C82" s="514"/>
      <c r="D82" s="514"/>
      <c r="E82" s="514"/>
      <c r="F82" s="514"/>
      <c r="G82" s="514"/>
      <c r="H82" s="514"/>
      <c r="I82" s="514"/>
      <c r="J82" s="514"/>
      <c r="K82" s="514"/>
      <c r="L82" s="514"/>
      <c r="M82" s="514"/>
      <c r="N82" s="514"/>
      <c r="O82" s="514"/>
      <c r="P82" s="514"/>
      <c r="Q82" s="514"/>
      <c r="R82" s="514"/>
      <c r="S82" s="514"/>
      <c r="T82" s="514"/>
      <c r="U82" s="514"/>
      <c r="V82" s="184"/>
    </row>
    <row r="83" spans="2:22">
      <c r="B83" s="366"/>
      <c r="C83" s="514"/>
      <c r="D83" s="514"/>
      <c r="E83" s="514"/>
      <c r="F83" s="514"/>
      <c r="G83" s="514"/>
      <c r="H83" s="514"/>
      <c r="I83" s="514"/>
      <c r="J83" s="514"/>
      <c r="K83" s="514"/>
      <c r="L83" s="514"/>
      <c r="M83" s="514"/>
      <c r="N83" s="514"/>
      <c r="O83" s="514"/>
      <c r="P83" s="514"/>
      <c r="Q83" s="514"/>
      <c r="R83" s="514"/>
      <c r="S83" s="514"/>
      <c r="T83" s="514"/>
      <c r="U83" s="514"/>
      <c r="V83" s="184"/>
    </row>
    <row r="84" spans="2:22">
      <c r="B84" s="366"/>
      <c r="C84" s="514"/>
      <c r="D84" s="514"/>
      <c r="E84" s="514"/>
      <c r="F84" s="514"/>
      <c r="G84" s="514"/>
      <c r="H84" s="514"/>
      <c r="I84" s="514"/>
      <c r="J84" s="514"/>
      <c r="K84" s="514"/>
      <c r="L84" s="514"/>
      <c r="M84" s="514"/>
      <c r="N84" s="514"/>
      <c r="O84" s="514"/>
      <c r="P84" s="514"/>
      <c r="Q84" s="514"/>
      <c r="R84" s="514"/>
      <c r="S84" s="514"/>
      <c r="T84" s="514"/>
      <c r="U84" s="514"/>
      <c r="V84" s="184"/>
    </row>
    <row r="85" spans="2:22">
      <c r="B85" s="366"/>
      <c r="C85" s="514"/>
      <c r="D85" s="514"/>
      <c r="E85" s="514"/>
      <c r="F85" s="514"/>
      <c r="G85" s="514"/>
      <c r="H85" s="514"/>
      <c r="I85" s="514"/>
      <c r="J85" s="514"/>
      <c r="K85" s="514"/>
      <c r="L85" s="514"/>
      <c r="M85" s="514"/>
      <c r="N85" s="514"/>
      <c r="O85" s="514"/>
      <c r="P85" s="514"/>
      <c r="Q85" s="514"/>
      <c r="R85" s="514"/>
      <c r="S85" s="514"/>
      <c r="T85" s="514"/>
      <c r="U85" s="514"/>
      <c r="V85" s="184"/>
    </row>
    <row r="86" spans="2:22">
      <c r="B86" s="366"/>
      <c r="C86" s="514"/>
      <c r="D86" s="514"/>
      <c r="E86" s="514"/>
      <c r="F86" s="514"/>
      <c r="G86" s="514"/>
      <c r="H86" s="514"/>
      <c r="I86" s="514"/>
      <c r="J86" s="514"/>
      <c r="K86" s="514"/>
      <c r="L86" s="514"/>
      <c r="M86" s="514"/>
      <c r="N86" s="514"/>
      <c r="O86" s="514"/>
      <c r="P86" s="514"/>
      <c r="Q86" s="514"/>
      <c r="R86" s="514"/>
      <c r="S86" s="514"/>
      <c r="T86" s="514"/>
      <c r="U86" s="514"/>
      <c r="V86" s="184"/>
    </row>
    <row r="87" spans="2:22">
      <c r="B87" s="366"/>
      <c r="C87" s="514"/>
      <c r="D87" s="514"/>
      <c r="E87" s="514"/>
      <c r="F87" s="514"/>
      <c r="G87" s="514"/>
      <c r="H87" s="514"/>
      <c r="I87" s="514"/>
      <c r="J87" s="514"/>
      <c r="K87" s="514"/>
      <c r="L87" s="514"/>
      <c r="M87" s="514"/>
      <c r="N87" s="514"/>
      <c r="O87" s="514"/>
      <c r="P87" s="514"/>
      <c r="Q87" s="514"/>
      <c r="R87" s="514"/>
      <c r="S87" s="514"/>
      <c r="T87" s="514"/>
      <c r="U87" s="514"/>
      <c r="V87" s="184"/>
    </row>
    <row r="88" spans="2:22">
      <c r="C88" s="528"/>
      <c r="D88" s="528"/>
      <c r="E88" s="529"/>
      <c r="F88" s="529"/>
      <c r="G88" s="529"/>
      <c r="H88" s="529"/>
      <c r="I88" s="529"/>
      <c r="J88" s="529"/>
      <c r="K88" s="529"/>
      <c r="L88" s="529"/>
      <c r="M88" s="529"/>
      <c r="N88" s="529"/>
      <c r="O88" s="529"/>
      <c r="P88" s="529"/>
      <c r="Q88" s="529"/>
      <c r="R88" s="529"/>
      <c r="S88" s="529"/>
      <c r="T88" s="529"/>
      <c r="U88" s="529"/>
      <c r="V88" s="28"/>
    </row>
    <row r="89" spans="2:22">
      <c r="C89" s="529"/>
      <c r="D89" s="529"/>
      <c r="E89" s="529"/>
      <c r="F89" s="529"/>
      <c r="G89" s="529"/>
      <c r="H89" s="529"/>
      <c r="I89" s="529"/>
      <c r="J89" s="529"/>
      <c r="K89" s="529"/>
      <c r="L89" s="529"/>
      <c r="M89" s="529"/>
      <c r="N89" s="529"/>
      <c r="O89" s="529"/>
      <c r="P89" s="529"/>
      <c r="Q89" s="529"/>
      <c r="R89" s="529"/>
      <c r="S89" s="529"/>
      <c r="T89" s="529"/>
      <c r="U89" s="529"/>
      <c r="V89" s="28"/>
    </row>
  </sheetData>
  <sheetProtection password="82A3" sheet="1" objects="1" scenarios="1" formatColumns="0" formatRows="0"/>
  <mergeCells count="32">
    <mergeCell ref="C88:U89"/>
    <mergeCell ref="C71:U71"/>
    <mergeCell ref="C72:U72"/>
    <mergeCell ref="C70:U70"/>
    <mergeCell ref="C87:U87"/>
    <mergeCell ref="C75:U75"/>
    <mergeCell ref="C81:U81"/>
    <mergeCell ref="C73:U73"/>
    <mergeCell ref="C76:U76"/>
    <mergeCell ref="C77:U77"/>
    <mergeCell ref="C82:U82"/>
    <mergeCell ref="C83:U83"/>
    <mergeCell ref="C84:U84"/>
    <mergeCell ref="C85:U85"/>
    <mergeCell ref="C86:U86"/>
    <mergeCell ref="C74:U74"/>
    <mergeCell ref="C80:U80"/>
    <mergeCell ref="C78:U79"/>
    <mergeCell ref="C1:M1"/>
    <mergeCell ref="E8:U8"/>
    <mergeCell ref="Y20:Y21"/>
    <mergeCell ref="C69:U69"/>
    <mergeCell ref="C4:K4"/>
    <mergeCell ref="C2:K2"/>
    <mergeCell ref="C3:K3"/>
    <mergeCell ref="O12:O13"/>
    <mergeCell ref="G12:G13"/>
    <mergeCell ref="Q12:Q13"/>
    <mergeCell ref="E12:E13"/>
    <mergeCell ref="I12:I13"/>
    <mergeCell ref="U12:U13"/>
    <mergeCell ref="M12:M13"/>
  </mergeCells>
  <phoneticPr fontId="2" type="noConversion"/>
  <conditionalFormatting sqref="U59 M59 E59">
    <cfRule type="cellIs" dxfId="11" priority="1" stopIfTrue="1" operator="equal">
      <formula>0</formula>
    </cfRule>
  </conditionalFormatting>
  <conditionalFormatting sqref="M21 U21">
    <cfRule type="cellIs" dxfId="10" priority="2" stopIfTrue="1" operator="equal">
      <formula>0</formula>
    </cfRule>
  </conditionalFormatting>
  <conditionalFormatting sqref="M19:M20 M16">
    <cfRule type="cellIs" dxfId="9" priority="3" stopIfTrue="1" operator="equal">
      <formula>0</formula>
    </cfRule>
  </conditionalFormatting>
  <conditionalFormatting sqref="I12:I13 M12:M13 Q12:Q13">
    <cfRule type="cellIs" dxfId="8" priority="4" stopIfTrue="1" operator="notEqual">
      <formula>""</formula>
    </cfRule>
  </conditionalFormatting>
  <dataValidations count="1">
    <dataValidation type="list" allowBlank="1" showInputMessage="1" showErrorMessage="1" prompt="Select either Interrogatory Responses, Supplementary Interrogatory Responses, Technical Conference, Settlement Agreement, Argument-in-Chief, or Reply Submission" sqref="M12:M13">
      <formula1>"Application Update, Interrogatory Responses, Supplementary Interrogatory Responses, Technical Conference, Settlement Agreement, Argument-in-Chief, Close of Discovery, Reply Submission"</formula1>
    </dataValidation>
  </dataValidations>
  <pageMargins left="0.75" right="0.75" top="0.46" bottom="0.79" header="0.26" footer="0.5"/>
  <pageSetup scale="54" orientation="portrait" r:id="rId1"/>
  <headerFooter alignWithMargins="0">
    <oddFooter>&amp;C2</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AB42"/>
  <sheetViews>
    <sheetView showGridLines="0" topLeftCell="A4" zoomScaleNormal="100" zoomScaleSheetLayoutView="100" workbookViewId="0">
      <selection activeCell="K17" sqref="K17"/>
    </sheetView>
  </sheetViews>
  <sheetFormatPr defaultColWidth="9.140625" defaultRowHeight="12.75"/>
  <cols>
    <col min="1" max="1" width="2.7109375" style="5" customWidth="1"/>
    <col min="2" max="2" width="5.28515625" style="5" customWidth="1"/>
    <col min="3" max="3" width="5.7109375" style="5" customWidth="1"/>
    <col min="4" max="4" width="31.140625" style="5" customWidth="1"/>
    <col min="5" max="5" width="3.7109375" style="5" customWidth="1"/>
    <col min="6" max="6" width="1.28515625" style="5" customWidth="1"/>
    <col min="7" max="7" width="14.42578125" style="5" customWidth="1"/>
    <col min="8" max="8" width="1.140625" style="5" customWidth="1"/>
    <col min="9" max="9" width="3.42578125" style="5" customWidth="1"/>
    <col min="10" max="10" width="1.140625" style="5" customWidth="1"/>
    <col min="11" max="11" width="12.140625" style="5" customWidth="1"/>
    <col min="12" max="12" width="1.140625" style="5" customWidth="1"/>
    <col min="13" max="13" width="3.42578125" style="5" customWidth="1"/>
    <col min="14" max="14" width="1.140625" style="5" customWidth="1"/>
    <col min="15" max="15" width="14.5703125" style="5" customWidth="1"/>
    <col min="16" max="16" width="1.42578125" style="5" customWidth="1"/>
    <col min="17" max="17" width="3.42578125" style="5" customWidth="1"/>
    <col min="18" max="18" width="1.140625" style="5" customWidth="1"/>
    <col min="19" max="19" width="12" style="5" customWidth="1"/>
    <col min="20" max="20" width="1.140625" style="5" customWidth="1"/>
    <col min="21" max="21" width="3.42578125" style="5" customWidth="1"/>
    <col min="22" max="22" width="1.140625" style="5" customWidth="1"/>
    <col min="23" max="23" width="14.7109375" style="5" customWidth="1"/>
    <col min="24" max="24" width="2.85546875" style="5" customWidth="1"/>
    <col min="25" max="16384" width="9.140625" style="5"/>
  </cols>
  <sheetData>
    <row r="1" spans="2:28" s="2" customFormat="1" ht="36.75" customHeight="1">
      <c r="C1" s="537"/>
      <c r="D1" s="537"/>
      <c r="E1" s="537"/>
      <c r="F1" s="537"/>
      <c r="G1" s="537"/>
      <c r="H1" s="537"/>
      <c r="I1" s="537"/>
      <c r="J1" s="537"/>
      <c r="K1" s="537"/>
      <c r="L1" s="141"/>
      <c r="W1" s="147"/>
    </row>
    <row r="2" spans="2:28" s="2" customFormat="1" ht="36.75" customHeight="1">
      <c r="C2" s="521"/>
      <c r="D2" s="521"/>
      <c r="E2" s="521"/>
      <c r="F2" s="521"/>
      <c r="G2" s="521"/>
      <c r="H2" s="521"/>
      <c r="I2" s="521"/>
      <c r="J2" s="521"/>
      <c r="K2" s="521"/>
      <c r="L2" s="521"/>
      <c r="M2" s="521"/>
      <c r="N2" s="521"/>
      <c r="O2" s="521"/>
      <c r="P2" s="521"/>
      <c r="Q2" s="521"/>
      <c r="R2" s="521"/>
      <c r="S2" s="521"/>
      <c r="T2" s="521"/>
      <c r="U2" s="521"/>
      <c r="V2" s="521"/>
      <c r="W2" s="521"/>
    </row>
    <row r="3" spans="2:28" s="2" customFormat="1" ht="36.75" customHeight="1">
      <c r="C3" s="521"/>
      <c r="D3" s="521"/>
      <c r="E3" s="521"/>
      <c r="F3" s="521"/>
      <c r="G3" s="521"/>
      <c r="H3" s="36"/>
      <c r="I3" s="33"/>
      <c r="J3" s="33"/>
      <c r="K3" s="33"/>
      <c r="L3" s="33"/>
    </row>
    <row r="4" spans="2:28" s="2" customFormat="1" ht="36.75" customHeight="1">
      <c r="C4" s="521"/>
      <c r="D4" s="521"/>
      <c r="E4" s="521"/>
      <c r="F4" s="521"/>
      <c r="G4" s="521"/>
      <c r="H4" s="36"/>
      <c r="I4" s="33"/>
      <c r="J4" s="33"/>
      <c r="K4" s="33"/>
      <c r="L4" s="33"/>
    </row>
    <row r="5" spans="2:28" s="2" customFormat="1" ht="15.75">
      <c r="E5" s="3"/>
      <c r="F5" s="3"/>
    </row>
    <row r="6" spans="2:28" s="2" customFormat="1" ht="18">
      <c r="B6" s="385" t="s">
        <v>252</v>
      </c>
    </row>
    <row r="9" spans="2:28" ht="15.75">
      <c r="G9" s="58"/>
      <c r="H9" s="58"/>
      <c r="I9" s="58"/>
      <c r="J9" s="58"/>
      <c r="K9" s="58"/>
      <c r="L9" s="58"/>
      <c r="M9" s="58"/>
      <c r="N9" s="58"/>
      <c r="O9" s="58"/>
      <c r="P9" s="58"/>
      <c r="Q9" s="58"/>
      <c r="R9" s="58"/>
      <c r="S9" s="58"/>
      <c r="T9" s="58"/>
      <c r="U9" s="58"/>
      <c r="V9" s="58"/>
      <c r="W9" s="58"/>
    </row>
    <row r="10" spans="2:28" ht="18">
      <c r="D10" s="382" t="s">
        <v>7</v>
      </c>
      <c r="F10" s="127"/>
      <c r="G10" s="127"/>
      <c r="H10" s="127"/>
      <c r="I10" s="127"/>
      <c r="J10" s="127"/>
      <c r="K10" s="127"/>
      <c r="L10" s="127"/>
      <c r="M10" s="127"/>
      <c r="N10" s="127"/>
      <c r="O10" s="127"/>
      <c r="P10" s="127"/>
      <c r="Q10" s="127"/>
      <c r="R10" s="127"/>
      <c r="S10" s="127"/>
      <c r="T10" s="127"/>
      <c r="U10" s="127"/>
      <c r="V10" s="127"/>
      <c r="W10" s="127"/>
    </row>
    <row r="11" spans="2:28" ht="25.5">
      <c r="B11" s="41" t="s">
        <v>37</v>
      </c>
      <c r="C11" s="28"/>
      <c r="D11" s="42" t="s">
        <v>36</v>
      </c>
      <c r="E11" s="66"/>
      <c r="F11" s="34"/>
      <c r="G11" s="300" t="s">
        <v>155</v>
      </c>
      <c r="H11" s="69"/>
      <c r="I11" s="305"/>
      <c r="J11" s="305"/>
      <c r="K11" s="69" t="str">
        <f>IF(ISBLANK('3. Data_Input_Sheet'!M12),"",'3. Data_Input_Sheet'!I12)</f>
        <v>Adjustments</v>
      </c>
      <c r="L11" s="69"/>
      <c r="M11" s="305"/>
      <c r="N11" s="305"/>
      <c r="O11" s="169" t="str">
        <f>IF(ISBLANK('3. Data_Input_Sheet'!M12)," ",'3. Data_Input_Sheet'!M12)</f>
        <v>Close of Discovery</v>
      </c>
      <c r="P11" s="305"/>
      <c r="Q11" s="305"/>
      <c r="R11" s="305"/>
      <c r="S11" s="69" t="str">
        <f>IF(ISBLANK('3. Data_Input_Sheet'!Q12),"",'3. Data_Input_Sheet'!Q12)</f>
        <v>Adjustments</v>
      </c>
      <c r="T11" s="305"/>
      <c r="U11" s="305"/>
      <c r="V11" s="305"/>
      <c r="W11" s="300" t="str">
        <f>'3. Data_Input_Sheet'!U12</f>
        <v>Per Board Decision</v>
      </c>
    </row>
    <row r="12" spans="2:28">
      <c r="F12" s="34"/>
      <c r="G12" s="34"/>
      <c r="H12" s="34"/>
      <c r="I12" s="34"/>
      <c r="J12" s="34"/>
      <c r="K12" s="34"/>
      <c r="L12" s="34"/>
      <c r="M12" s="34"/>
      <c r="N12" s="34"/>
      <c r="O12" s="34"/>
      <c r="P12" s="34"/>
      <c r="Q12" s="34"/>
      <c r="R12" s="34"/>
      <c r="S12" s="34"/>
      <c r="T12" s="34"/>
      <c r="U12" s="34"/>
      <c r="V12" s="34"/>
      <c r="W12" s="34"/>
    </row>
    <row r="13" spans="2:28">
      <c r="B13" s="4">
        <v>1</v>
      </c>
      <c r="D13" s="5" t="s">
        <v>102</v>
      </c>
      <c r="E13" s="18" t="s">
        <v>98</v>
      </c>
      <c r="F13" s="34"/>
      <c r="G13" s="100">
        <f>'3. Data_Input_Sheet'!E16</f>
        <v>206001.29629018123</v>
      </c>
      <c r="H13" s="100"/>
      <c r="I13" s="365"/>
      <c r="J13" s="180"/>
      <c r="K13" s="100">
        <f>'3. Data_Input_Sheet'!I16</f>
        <v>-7345</v>
      </c>
      <c r="L13" s="100"/>
      <c r="M13" s="365"/>
      <c r="N13" s="180"/>
      <c r="O13" s="100">
        <f>G13+K13</f>
        <v>198656.29629018123</v>
      </c>
      <c r="P13" s="180"/>
      <c r="Q13" s="365"/>
      <c r="R13" s="180"/>
      <c r="S13" s="100">
        <f>'3. Data_Input_Sheet'!Q16</f>
        <v>0</v>
      </c>
      <c r="T13" s="180"/>
      <c r="U13" s="365"/>
      <c r="V13" s="180"/>
      <c r="W13" s="100">
        <f>G13+K13+S13</f>
        <v>198656.29629018123</v>
      </c>
      <c r="Z13" s="53"/>
      <c r="AA13" s="53"/>
      <c r="AB13" s="53"/>
    </row>
    <row r="14" spans="2:28">
      <c r="B14" s="4">
        <v>2</v>
      </c>
      <c r="D14" s="5" t="s">
        <v>103</v>
      </c>
      <c r="E14" s="18" t="s">
        <v>98</v>
      </c>
      <c r="F14" s="34"/>
      <c r="G14" s="102">
        <f>'3. Data_Input_Sheet'!E17</f>
        <v>-94891.654203667364</v>
      </c>
      <c r="H14" s="100"/>
      <c r="I14" s="365"/>
      <c r="J14" s="180"/>
      <c r="K14" s="102">
        <f>'3. Data_Input_Sheet'!I17</f>
        <v>88.381944444437977</v>
      </c>
      <c r="L14" s="100"/>
      <c r="M14" s="365"/>
      <c r="N14" s="180"/>
      <c r="O14" s="102">
        <f>G14+K14</f>
        <v>-94803.272259222926</v>
      </c>
      <c r="P14" s="180"/>
      <c r="Q14" s="365"/>
      <c r="R14" s="180"/>
      <c r="S14" s="102">
        <f>'3. Data_Input_Sheet'!Q17</f>
        <v>0</v>
      </c>
      <c r="T14" s="180"/>
      <c r="U14" s="365"/>
      <c r="V14" s="180"/>
      <c r="W14" s="102">
        <f>G14+K14+S14</f>
        <v>-94803.272259222926</v>
      </c>
    </row>
    <row r="15" spans="2:28">
      <c r="B15" s="4">
        <v>3</v>
      </c>
      <c r="D15" s="60" t="s">
        <v>104</v>
      </c>
      <c r="E15" s="18" t="s">
        <v>98</v>
      </c>
      <c r="F15" s="34"/>
      <c r="G15" s="47">
        <f>SUM(G13:G14)</f>
        <v>111109.64208651386</v>
      </c>
      <c r="H15" s="47"/>
      <c r="I15" s="128"/>
      <c r="J15" s="128"/>
      <c r="K15" s="47">
        <f>SUM(K13:K14)</f>
        <v>-7256.618055555562</v>
      </c>
      <c r="L15" s="47"/>
      <c r="M15" s="128"/>
      <c r="N15" s="128"/>
      <c r="O15" s="47">
        <f>SUM(O13:O14)</f>
        <v>103853.0240309583</v>
      </c>
      <c r="P15" s="128"/>
      <c r="Q15" s="128"/>
      <c r="R15" s="128"/>
      <c r="S15" s="47">
        <f>SUM(S13:S14)</f>
        <v>0</v>
      </c>
      <c r="T15" s="128"/>
      <c r="U15" s="128"/>
      <c r="V15" s="128"/>
      <c r="W15" s="47">
        <f>SUM(W13:W14)</f>
        <v>103853.0240309583</v>
      </c>
    </row>
    <row r="16" spans="2:28">
      <c r="B16" s="4"/>
      <c r="E16" s="4"/>
      <c r="F16" s="34"/>
      <c r="G16" s="47"/>
      <c r="H16" s="47"/>
      <c r="I16" s="128"/>
      <c r="J16" s="128"/>
      <c r="K16" s="47"/>
      <c r="L16" s="47"/>
      <c r="M16" s="128"/>
      <c r="N16" s="128"/>
      <c r="O16" s="47"/>
      <c r="P16" s="128"/>
      <c r="Q16" s="128"/>
      <c r="R16" s="128"/>
      <c r="S16" s="47"/>
      <c r="T16" s="128"/>
      <c r="U16" s="128"/>
      <c r="V16" s="128"/>
      <c r="W16" s="47"/>
    </row>
    <row r="17" spans="2:26">
      <c r="B17" s="4">
        <v>4</v>
      </c>
      <c r="D17" s="126" t="s">
        <v>58</v>
      </c>
      <c r="E17" s="168" t="s">
        <v>2</v>
      </c>
      <c r="F17" s="34"/>
      <c r="G17" s="54">
        <f>G30</f>
        <v>12786.470687006538</v>
      </c>
      <c r="H17" s="47"/>
      <c r="I17" s="128"/>
      <c r="J17" s="128"/>
      <c r="K17" s="54">
        <f>K30</f>
        <v>-981.51093736629991</v>
      </c>
      <c r="L17" s="47"/>
      <c r="M17" s="128"/>
      <c r="N17" s="128"/>
      <c r="O17" s="54">
        <f>O30</f>
        <v>11804.959749640238</v>
      </c>
      <c r="P17" s="128"/>
      <c r="Q17" s="128"/>
      <c r="R17" s="128"/>
      <c r="S17" s="54">
        <f>S30</f>
        <v>0</v>
      </c>
      <c r="T17" s="128"/>
      <c r="U17" s="128"/>
      <c r="V17" s="128"/>
      <c r="W17" s="54">
        <f>W30</f>
        <v>11804.959749640238</v>
      </c>
    </row>
    <row r="18" spans="2:26">
      <c r="B18" s="4"/>
      <c r="D18" s="541" t="s">
        <v>1</v>
      </c>
      <c r="E18" s="37"/>
      <c r="F18" s="70"/>
      <c r="G18" s="539">
        <f>G17+G15</f>
        <v>123896.11277352041</v>
      </c>
      <c r="H18" s="49"/>
      <c r="I18" s="128"/>
      <c r="J18" s="128"/>
      <c r="K18" s="539">
        <f>K17+K15</f>
        <v>-8238.1289929218619</v>
      </c>
      <c r="L18" s="49"/>
      <c r="M18" s="128"/>
      <c r="N18" s="128"/>
      <c r="O18" s="539">
        <f>O17+O15</f>
        <v>115657.98378059854</v>
      </c>
      <c r="P18" s="128"/>
      <c r="Q18" s="128"/>
      <c r="R18" s="128"/>
      <c r="S18" s="539">
        <f>S17+S15</f>
        <v>0</v>
      </c>
      <c r="T18" s="128"/>
      <c r="U18" s="128"/>
      <c r="V18" s="128"/>
      <c r="W18" s="539">
        <f>W15+W17</f>
        <v>115657.98378059854</v>
      </c>
    </row>
    <row r="19" spans="2:26" ht="13.5" thickBot="1">
      <c r="B19" s="4">
        <v>5</v>
      </c>
      <c r="D19" s="542"/>
      <c r="E19" s="37"/>
      <c r="F19" s="70"/>
      <c r="G19" s="540"/>
      <c r="H19" s="49"/>
      <c r="I19" s="101"/>
      <c r="J19" s="101"/>
      <c r="K19" s="540"/>
      <c r="L19" s="49"/>
      <c r="M19" s="101"/>
      <c r="N19" s="101"/>
      <c r="O19" s="540"/>
      <c r="P19" s="101"/>
      <c r="Q19" s="101"/>
      <c r="R19" s="101"/>
      <c r="S19" s="540"/>
      <c r="T19" s="101"/>
      <c r="U19" s="101"/>
      <c r="V19" s="101"/>
      <c r="W19" s="540"/>
    </row>
    <row r="20" spans="2:26" ht="56.25" customHeight="1" thickTop="1">
      <c r="B20" s="4"/>
      <c r="C20" s="299" t="s">
        <v>2</v>
      </c>
      <c r="D20" s="384" t="s">
        <v>279</v>
      </c>
    </row>
    <row r="21" spans="2:26">
      <c r="B21" s="66"/>
      <c r="C21" s="34"/>
      <c r="D21" s="34"/>
      <c r="E21" s="34"/>
      <c r="F21" s="34"/>
      <c r="G21" s="34"/>
      <c r="H21" s="34"/>
      <c r="I21" s="34"/>
      <c r="J21" s="34"/>
      <c r="K21" s="34"/>
      <c r="L21" s="34"/>
      <c r="M21" s="34"/>
      <c r="N21" s="34"/>
      <c r="O21" s="34"/>
      <c r="P21" s="34"/>
      <c r="Q21" s="34"/>
      <c r="R21" s="34"/>
      <c r="S21" s="34"/>
      <c r="T21" s="34"/>
      <c r="U21" s="34"/>
      <c r="V21" s="34"/>
      <c r="W21" s="34"/>
      <c r="X21" s="34"/>
    </row>
    <row r="22" spans="2:26">
      <c r="B22" s="70"/>
      <c r="C22" s="299"/>
      <c r="D22" s="543"/>
      <c r="E22" s="544"/>
      <c r="F22" s="544"/>
      <c r="G22" s="544"/>
      <c r="H22" s="544"/>
      <c r="I22" s="544"/>
      <c r="J22" s="544"/>
      <c r="K22" s="544"/>
      <c r="L22" s="544"/>
      <c r="M22" s="544"/>
      <c r="N22" s="544"/>
      <c r="O22" s="544"/>
      <c r="P22" s="544"/>
      <c r="Q22" s="544"/>
      <c r="R22" s="544"/>
      <c r="S22" s="544"/>
      <c r="T22" s="544"/>
      <c r="U22" s="544"/>
      <c r="V22" s="544"/>
      <c r="W22" s="544"/>
      <c r="X22" s="129"/>
      <c r="Y22" s="15"/>
      <c r="Z22" s="15"/>
    </row>
    <row r="23" spans="2:26">
      <c r="B23" s="70"/>
      <c r="C23" s="89"/>
      <c r="D23" s="130"/>
      <c r="E23" s="89"/>
      <c r="F23" s="89"/>
      <c r="G23" s="89"/>
      <c r="H23" s="89"/>
      <c r="I23" s="89"/>
      <c r="J23" s="89"/>
      <c r="K23" s="89"/>
      <c r="L23" s="89"/>
      <c r="M23" s="89"/>
      <c r="N23" s="89"/>
      <c r="O23" s="89"/>
      <c r="P23" s="89"/>
      <c r="Q23" s="89"/>
      <c r="R23" s="89"/>
      <c r="S23" s="89"/>
      <c r="T23" s="89"/>
      <c r="U23" s="89"/>
      <c r="V23" s="89"/>
      <c r="W23" s="131"/>
      <c r="X23" s="89"/>
      <c r="Y23" s="15"/>
      <c r="Z23" s="15"/>
    </row>
    <row r="24" spans="2:26">
      <c r="B24" s="66">
        <v>6</v>
      </c>
      <c r="C24" s="34"/>
      <c r="D24" s="65" t="s">
        <v>9</v>
      </c>
      <c r="E24" s="34"/>
      <c r="F24" s="34"/>
      <c r="G24" s="100">
        <f>'3. Data_Input_Sheet'!E19</f>
        <v>13233.831952052396</v>
      </c>
      <c r="H24" s="100"/>
      <c r="I24" s="365"/>
      <c r="J24" s="180"/>
      <c r="K24" s="100">
        <f>'3. Data_Input_Sheet'!I19</f>
        <v>0</v>
      </c>
      <c r="L24" s="100"/>
      <c r="M24" s="365"/>
      <c r="N24" s="180"/>
      <c r="O24" s="100">
        <f>G24+K24</f>
        <v>13233.831952052396</v>
      </c>
      <c r="P24" s="180"/>
      <c r="Q24" s="365"/>
      <c r="R24" s="180"/>
      <c r="S24" s="100">
        <f>'3. Data_Input_Sheet'!Q19</f>
        <v>0</v>
      </c>
      <c r="T24" s="180"/>
      <c r="U24" s="365"/>
      <c r="V24" s="180"/>
      <c r="W24" s="124">
        <f>G24+K24+S24</f>
        <v>13233.831952052396</v>
      </c>
      <c r="X24" s="34"/>
    </row>
    <row r="25" spans="2:26">
      <c r="B25" s="66">
        <v>7</v>
      </c>
      <c r="C25" s="34"/>
      <c r="D25" s="125" t="s">
        <v>5</v>
      </c>
      <c r="E25" s="34"/>
      <c r="F25" s="34"/>
      <c r="G25" s="102">
        <f>'3. Data_Input_Sheet'!E20</f>
        <v>123227.96833617106</v>
      </c>
      <c r="H25" s="100"/>
      <c r="I25" s="365"/>
      <c r="J25" s="180"/>
      <c r="K25" s="102">
        <f>'3. Data_Input_Sheet'!I20</f>
        <v>-10475.03668480576</v>
      </c>
      <c r="L25" s="100"/>
      <c r="M25" s="365"/>
      <c r="N25" s="180"/>
      <c r="O25" s="102">
        <f>G25+K25</f>
        <v>112752.9316513653</v>
      </c>
      <c r="P25" s="180"/>
      <c r="Q25" s="365"/>
      <c r="R25" s="180"/>
      <c r="S25" s="102">
        <f>'3. Data_Input_Sheet'!Q20</f>
        <v>0</v>
      </c>
      <c r="T25" s="180"/>
      <c r="U25" s="365"/>
      <c r="V25" s="180"/>
      <c r="W25" s="132">
        <f>G25+K25+S25</f>
        <v>112752.9316513653</v>
      </c>
      <c r="X25" s="34"/>
    </row>
    <row r="26" spans="2:26">
      <c r="B26" s="66">
        <v>8</v>
      </c>
      <c r="C26" s="34"/>
      <c r="D26" s="65" t="s">
        <v>10</v>
      </c>
      <c r="E26" s="34"/>
      <c r="F26" s="34"/>
      <c r="G26" s="47">
        <f>SUM(G24:G25)</f>
        <v>136461.80028822346</v>
      </c>
      <c r="H26" s="47"/>
      <c r="I26" s="128"/>
      <c r="J26" s="156"/>
      <c r="K26" s="47">
        <f>K24+K25</f>
        <v>-10475.03668480576</v>
      </c>
      <c r="L26" s="47"/>
      <c r="M26" s="128"/>
      <c r="N26" s="128"/>
      <c r="O26" s="47">
        <f>SUM(O24:O25)</f>
        <v>125986.7636034177</v>
      </c>
      <c r="P26" s="128"/>
      <c r="Q26" s="128"/>
      <c r="R26" s="128"/>
      <c r="S26" s="47">
        <f>S24+S25</f>
        <v>0</v>
      </c>
      <c r="T26" s="128"/>
      <c r="U26" s="128"/>
      <c r="V26" s="128"/>
      <c r="W26" s="68">
        <f>SUM(W24:W25)</f>
        <v>125986.7636034177</v>
      </c>
      <c r="X26" s="34"/>
    </row>
    <row r="27" spans="2:26">
      <c r="B27" s="66"/>
      <c r="C27" s="34"/>
      <c r="D27" s="65"/>
      <c r="E27" s="34"/>
      <c r="F27" s="34"/>
      <c r="G27" s="34"/>
      <c r="H27" s="34"/>
      <c r="I27" s="34"/>
      <c r="J27" s="30"/>
      <c r="K27" s="34"/>
      <c r="L27" s="34"/>
      <c r="M27" s="34"/>
      <c r="N27" s="34"/>
      <c r="O27" s="34"/>
      <c r="P27" s="34"/>
      <c r="Q27" s="34"/>
      <c r="R27" s="34"/>
      <c r="S27" s="34"/>
      <c r="T27" s="34"/>
      <c r="U27" s="34"/>
      <c r="V27" s="34"/>
      <c r="W27" s="35"/>
      <c r="X27" s="34"/>
    </row>
    <row r="28" spans="2:26">
      <c r="B28" s="73">
        <v>9</v>
      </c>
      <c r="C28" s="30"/>
      <c r="D28" s="65" t="s">
        <v>82</v>
      </c>
      <c r="E28" s="133" t="s">
        <v>3</v>
      </c>
      <c r="F28" s="34"/>
      <c r="G28" s="80">
        <f>'3. Data_Input_Sheet'!E21</f>
        <v>9.3700000000000006E-2</v>
      </c>
      <c r="H28" s="80"/>
      <c r="I28" s="365"/>
      <c r="J28" s="180"/>
      <c r="K28" s="88">
        <f>O28-G28</f>
        <v>0</v>
      </c>
      <c r="L28" s="88"/>
      <c r="M28" s="365"/>
      <c r="N28" s="88"/>
      <c r="O28" s="80">
        <f>'3. Data_Input_Sheet'!M21</f>
        <v>9.3700000000000006E-2</v>
      </c>
      <c r="P28" s="88"/>
      <c r="Q28" s="365"/>
      <c r="R28" s="88"/>
      <c r="S28" s="88">
        <f>W28-O28</f>
        <v>0</v>
      </c>
      <c r="T28" s="88"/>
      <c r="U28" s="365"/>
      <c r="V28" s="88"/>
      <c r="W28" s="134">
        <f>'3. Data_Input_Sheet'!U21</f>
        <v>9.3700000000000006E-2</v>
      </c>
      <c r="X28" s="34"/>
    </row>
    <row r="29" spans="2:26" ht="13.5" thickBot="1">
      <c r="B29" s="66"/>
      <c r="C29" s="34"/>
      <c r="D29" s="65"/>
      <c r="E29" s="34"/>
      <c r="F29" s="34"/>
      <c r="G29" s="135"/>
      <c r="H29" s="34"/>
      <c r="I29" s="34"/>
      <c r="J29" s="34"/>
      <c r="K29" s="135"/>
      <c r="L29" s="34"/>
      <c r="M29" s="34"/>
      <c r="N29" s="34"/>
      <c r="O29" s="135"/>
      <c r="P29" s="34"/>
      <c r="Q29" s="34"/>
      <c r="R29" s="34"/>
      <c r="S29" s="135"/>
      <c r="T29" s="34"/>
      <c r="U29" s="34"/>
      <c r="V29" s="34"/>
      <c r="W29" s="136"/>
      <c r="X29" s="34"/>
    </row>
    <row r="30" spans="2:26" ht="13.5" thickTop="1">
      <c r="B30" s="73">
        <v>10</v>
      </c>
      <c r="C30" s="30"/>
      <c r="D30" s="125" t="s">
        <v>0</v>
      </c>
      <c r="E30" s="126"/>
      <c r="F30" s="126"/>
      <c r="G30" s="102">
        <f>G26*G28</f>
        <v>12786.470687006538</v>
      </c>
      <c r="H30" s="102"/>
      <c r="I30" s="102"/>
      <c r="J30" s="102"/>
      <c r="K30" s="102">
        <f>O30-G30</f>
        <v>-981.51093736629991</v>
      </c>
      <c r="L30" s="102"/>
      <c r="M30" s="102"/>
      <c r="N30" s="102"/>
      <c r="O30" s="102">
        <f>O26*O28</f>
        <v>11804.959749640238</v>
      </c>
      <c r="P30" s="102"/>
      <c r="Q30" s="102"/>
      <c r="R30" s="102"/>
      <c r="S30" s="102">
        <f>W30-O30</f>
        <v>0</v>
      </c>
      <c r="T30" s="102"/>
      <c r="U30" s="102"/>
      <c r="V30" s="102"/>
      <c r="W30" s="132">
        <f>W26*W28</f>
        <v>11804.959749640238</v>
      </c>
      <c r="X30" s="34"/>
    </row>
    <row r="31" spans="2:26" ht="5.25" customHeight="1">
      <c r="B31" s="34"/>
      <c r="C31" s="34"/>
      <c r="D31" s="34"/>
      <c r="E31" s="34"/>
      <c r="F31" s="34"/>
      <c r="G31" s="34"/>
      <c r="H31" s="34"/>
      <c r="I31" s="34"/>
      <c r="J31" s="34"/>
      <c r="K31" s="34"/>
      <c r="L31" s="34"/>
      <c r="M31" s="34"/>
      <c r="N31" s="34"/>
      <c r="O31" s="34"/>
      <c r="P31" s="34"/>
      <c r="Q31" s="34"/>
      <c r="R31" s="34"/>
      <c r="S31" s="34"/>
      <c r="T31" s="34"/>
      <c r="U31" s="34"/>
      <c r="V31" s="34"/>
      <c r="W31" s="34"/>
      <c r="X31" s="34"/>
    </row>
    <row r="32" spans="2:26" ht="6.75" customHeight="1"/>
    <row r="33" spans="2:23">
      <c r="B33" s="538" t="s">
        <v>38</v>
      </c>
      <c r="C33" s="538"/>
      <c r="D33" s="538"/>
      <c r="E33" s="538"/>
      <c r="F33" s="538"/>
      <c r="G33" s="538"/>
      <c r="H33" s="538"/>
      <c r="I33" s="538"/>
      <c r="J33" s="538"/>
      <c r="K33" s="538"/>
      <c r="L33" s="538"/>
      <c r="M33" s="538"/>
      <c r="N33" s="538"/>
      <c r="O33" s="538"/>
      <c r="P33" s="538"/>
      <c r="Q33" s="538"/>
      <c r="R33" s="538"/>
      <c r="S33" s="538"/>
      <c r="T33" s="538"/>
      <c r="U33" s="538"/>
      <c r="V33" s="538"/>
      <c r="W33" s="538"/>
    </row>
    <row r="34" spans="2:23">
      <c r="B34" s="137" t="s">
        <v>3</v>
      </c>
      <c r="D34" s="535" t="s">
        <v>283</v>
      </c>
      <c r="E34" s="534"/>
      <c r="F34" s="534"/>
      <c r="G34" s="534"/>
      <c r="H34" s="534"/>
      <c r="I34" s="534"/>
      <c r="J34" s="534"/>
      <c r="K34" s="534"/>
      <c r="L34" s="534"/>
      <c r="M34" s="534"/>
      <c r="N34" s="534"/>
      <c r="O34" s="534"/>
      <c r="P34" s="534"/>
      <c r="Q34" s="534"/>
      <c r="R34" s="534"/>
      <c r="S34" s="534"/>
      <c r="T34" s="534"/>
      <c r="U34" s="534"/>
      <c r="V34" s="534"/>
      <c r="W34" s="534"/>
    </row>
    <row r="35" spans="2:23">
      <c r="B35" s="138" t="s">
        <v>98</v>
      </c>
      <c r="C35" s="26"/>
      <c r="D35" s="520" t="s">
        <v>133</v>
      </c>
      <c r="E35" s="520"/>
      <c r="F35" s="520"/>
      <c r="G35" s="520"/>
      <c r="H35" s="520"/>
      <c r="I35" s="520"/>
      <c r="J35" s="520"/>
      <c r="K35" s="520"/>
      <c r="L35" s="520"/>
      <c r="M35" s="520"/>
      <c r="N35" s="520"/>
      <c r="O35" s="520"/>
      <c r="P35" s="520"/>
      <c r="Q35" s="520"/>
      <c r="R35" s="520"/>
      <c r="S35" s="520"/>
      <c r="T35" s="520"/>
      <c r="U35" s="520"/>
      <c r="V35" s="520"/>
      <c r="W35" s="520"/>
    </row>
    <row r="36" spans="2:23">
      <c r="B36" s="365"/>
      <c r="D36" s="536"/>
      <c r="E36" s="536"/>
      <c r="F36" s="536"/>
      <c r="G36" s="536"/>
      <c r="H36" s="536"/>
      <c r="I36" s="536"/>
      <c r="J36" s="536"/>
      <c r="K36" s="536"/>
      <c r="L36" s="536"/>
      <c r="M36" s="536"/>
      <c r="N36" s="536"/>
      <c r="O36" s="536"/>
      <c r="P36" s="536"/>
      <c r="Q36" s="536"/>
      <c r="R36" s="536"/>
      <c r="S36" s="536"/>
      <c r="T36" s="536"/>
      <c r="U36" s="536"/>
      <c r="V36" s="536"/>
      <c r="W36" s="536"/>
    </row>
    <row r="37" spans="2:23">
      <c r="B37" s="365"/>
      <c r="D37" s="536"/>
      <c r="E37" s="536"/>
      <c r="F37" s="536"/>
      <c r="G37" s="536"/>
      <c r="H37" s="536"/>
      <c r="I37" s="536"/>
      <c r="J37" s="536"/>
      <c r="K37" s="536"/>
      <c r="L37" s="536"/>
      <c r="M37" s="536"/>
      <c r="N37" s="536"/>
      <c r="O37" s="536"/>
      <c r="P37" s="536"/>
      <c r="Q37" s="536"/>
      <c r="R37" s="536"/>
      <c r="S37" s="536"/>
      <c r="T37" s="536"/>
      <c r="U37" s="536"/>
      <c r="V37" s="536"/>
      <c r="W37" s="536"/>
    </row>
    <row r="38" spans="2:23">
      <c r="B38" s="365"/>
      <c r="D38" s="536"/>
      <c r="E38" s="536"/>
      <c r="F38" s="536"/>
      <c r="G38" s="536"/>
      <c r="H38" s="536"/>
      <c r="I38" s="536"/>
      <c r="J38" s="536"/>
      <c r="K38" s="536"/>
      <c r="L38" s="536"/>
      <c r="M38" s="536"/>
      <c r="N38" s="536"/>
      <c r="O38" s="536"/>
      <c r="P38" s="536"/>
      <c r="Q38" s="536"/>
      <c r="R38" s="536"/>
      <c r="S38" s="536"/>
      <c r="T38" s="536"/>
      <c r="U38" s="536"/>
      <c r="V38" s="536"/>
      <c r="W38" s="536"/>
    </row>
    <row r="39" spans="2:23">
      <c r="B39" s="365"/>
      <c r="D39" s="536"/>
      <c r="E39" s="536"/>
      <c r="F39" s="536"/>
      <c r="G39" s="536"/>
      <c r="H39" s="536"/>
      <c r="I39" s="536"/>
      <c r="J39" s="536"/>
      <c r="K39" s="536"/>
      <c r="L39" s="536"/>
      <c r="M39" s="536"/>
      <c r="N39" s="536"/>
      <c r="O39" s="536"/>
      <c r="P39" s="536"/>
      <c r="Q39" s="536"/>
      <c r="R39" s="536"/>
      <c r="S39" s="536"/>
      <c r="T39" s="536"/>
      <c r="U39" s="536"/>
      <c r="V39" s="536"/>
      <c r="W39" s="536"/>
    </row>
    <row r="40" spans="2:23">
      <c r="B40" s="365"/>
      <c r="D40" s="536"/>
      <c r="E40" s="536"/>
      <c r="F40" s="536"/>
      <c r="G40" s="536"/>
      <c r="H40" s="536"/>
      <c r="I40" s="536"/>
      <c r="J40" s="536"/>
      <c r="K40" s="536"/>
      <c r="L40" s="536"/>
      <c r="M40" s="536"/>
      <c r="N40" s="536"/>
      <c r="O40" s="536"/>
      <c r="P40" s="536"/>
      <c r="Q40" s="536"/>
      <c r="R40" s="536"/>
      <c r="S40" s="536"/>
      <c r="T40" s="536"/>
      <c r="U40" s="536"/>
      <c r="V40" s="536"/>
      <c r="W40" s="536"/>
    </row>
    <row r="41" spans="2:23">
      <c r="B41" s="365"/>
      <c r="D41" s="536"/>
      <c r="E41" s="536"/>
      <c r="F41" s="536"/>
      <c r="G41" s="536"/>
      <c r="H41" s="536"/>
      <c r="I41" s="536"/>
      <c r="J41" s="536"/>
      <c r="K41" s="536"/>
      <c r="L41" s="536"/>
      <c r="M41" s="536"/>
      <c r="N41" s="536"/>
      <c r="O41" s="536"/>
      <c r="P41" s="536"/>
      <c r="Q41" s="536"/>
      <c r="R41" s="536"/>
      <c r="S41" s="536"/>
      <c r="T41" s="536"/>
      <c r="U41" s="536"/>
      <c r="V41" s="536"/>
      <c r="W41" s="536"/>
    </row>
    <row r="42" spans="2:23">
      <c r="B42" s="365"/>
      <c r="D42" s="536"/>
      <c r="E42" s="536"/>
      <c r="F42" s="536"/>
      <c r="G42" s="536"/>
      <c r="H42" s="536"/>
      <c r="I42" s="536"/>
      <c r="J42" s="536"/>
      <c r="K42" s="536"/>
      <c r="L42" s="536"/>
      <c r="M42" s="536"/>
      <c r="N42" s="536"/>
      <c r="O42" s="536"/>
      <c r="P42" s="536"/>
      <c r="Q42" s="536"/>
      <c r="R42" s="536"/>
      <c r="S42" s="536"/>
      <c r="T42" s="536"/>
      <c r="U42" s="536"/>
      <c r="V42" s="536"/>
      <c r="W42" s="536"/>
    </row>
  </sheetData>
  <sheetProtection password="82A3" sheet="1" objects="1" scenarios="1" formatColumns="0" formatRows="0"/>
  <mergeCells count="21">
    <mergeCell ref="C3:G3"/>
    <mergeCell ref="C4:G4"/>
    <mergeCell ref="C1:K1"/>
    <mergeCell ref="C2:W2"/>
    <mergeCell ref="B33:W33"/>
    <mergeCell ref="G18:G19"/>
    <mergeCell ref="K18:K19"/>
    <mergeCell ref="W18:W19"/>
    <mergeCell ref="D18:D19"/>
    <mergeCell ref="D22:W22"/>
    <mergeCell ref="O18:O19"/>
    <mergeCell ref="S18:S19"/>
    <mergeCell ref="D34:W34"/>
    <mergeCell ref="D35:W35"/>
    <mergeCell ref="D36:W36"/>
    <mergeCell ref="D41:W41"/>
    <mergeCell ref="D42:W42"/>
    <mergeCell ref="D37:W37"/>
    <mergeCell ref="D38:W38"/>
    <mergeCell ref="D39:W39"/>
    <mergeCell ref="D40:W40"/>
  </mergeCells>
  <phoneticPr fontId="2" type="noConversion"/>
  <conditionalFormatting sqref="K11 O11 S11">
    <cfRule type="cellIs" dxfId="7" priority="1" stopIfTrue="1" operator="notEqual">
      <formula>""</formula>
    </cfRule>
  </conditionalFormatting>
  <pageMargins left="0.75" right="0.75" top="0.56999999999999995" bottom="1" header="0.34" footer="0.5"/>
  <pageSetup scale="72" orientation="landscape" r:id="rId1"/>
  <headerFooter alignWithMargins="0">
    <oddFooter>&amp;C3</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Z57"/>
  <sheetViews>
    <sheetView showGridLines="0" zoomScaleNormal="100" zoomScaleSheetLayoutView="100" workbookViewId="0">
      <selection activeCell="N16" sqref="N16"/>
    </sheetView>
  </sheetViews>
  <sheetFormatPr defaultColWidth="9.140625" defaultRowHeight="12.75"/>
  <cols>
    <col min="1" max="1" width="1.42578125" style="5" customWidth="1"/>
    <col min="2" max="2" width="5.28515625" style="5" customWidth="1"/>
    <col min="3" max="3" width="6.7109375" style="5" customWidth="1"/>
    <col min="4" max="4" width="26.140625" style="5" customWidth="1"/>
    <col min="5" max="5" width="2.7109375" style="5" customWidth="1"/>
    <col min="6" max="6" width="15.42578125" style="5" customWidth="1"/>
    <col min="7" max="7" width="1.7109375" style="5" customWidth="1"/>
    <col min="8" max="8" width="2.85546875" style="5" customWidth="1"/>
    <col min="9" max="9" width="1.7109375" style="5" customWidth="1"/>
    <col min="10" max="10" width="15.140625" style="5" customWidth="1"/>
    <col min="11" max="11" width="1.7109375" style="5" customWidth="1"/>
    <col min="12" max="12" width="2.85546875" style="5" customWidth="1"/>
    <col min="13" max="13" width="1.7109375" style="5" customWidth="1"/>
    <col min="14" max="14" width="15.7109375" style="5" customWidth="1"/>
    <col min="15" max="15" width="1.85546875" style="5" customWidth="1"/>
    <col min="16" max="16" width="2.85546875" style="5" customWidth="1"/>
    <col min="17" max="17" width="1.7109375" style="5" customWidth="1"/>
    <col min="18" max="18" width="14.85546875" style="5" customWidth="1"/>
    <col min="19" max="19" width="1.7109375" style="5" customWidth="1"/>
    <col min="20" max="20" width="2.85546875" style="5" customWidth="1"/>
    <col min="21" max="21" width="1.7109375" style="5" customWidth="1"/>
    <col min="22" max="22" width="15.5703125" style="5" customWidth="1"/>
    <col min="23" max="23" width="1.42578125" style="5" customWidth="1"/>
    <col min="24" max="24" width="11.7109375" style="5" bestFit="1" customWidth="1"/>
    <col min="25" max="16384" width="9.140625" style="5"/>
  </cols>
  <sheetData>
    <row r="1" spans="2:23" s="2" customFormat="1" ht="21.75">
      <c r="C1" s="537"/>
      <c r="D1" s="537"/>
      <c r="E1" s="537"/>
      <c r="F1" s="537"/>
      <c r="G1" s="537"/>
      <c r="H1" s="537"/>
      <c r="I1" s="537"/>
      <c r="J1" s="537"/>
      <c r="K1" s="537"/>
      <c r="L1" s="537"/>
      <c r="M1" s="141"/>
      <c r="N1" s="141"/>
      <c r="O1" s="141"/>
      <c r="P1" s="141"/>
      <c r="Q1" s="141"/>
      <c r="R1" s="141"/>
      <c r="S1" s="141"/>
      <c r="T1" s="141"/>
      <c r="U1" s="141"/>
      <c r="V1" s="147"/>
    </row>
    <row r="2" spans="2:23" s="2" customFormat="1" ht="18">
      <c r="C2" s="521"/>
      <c r="D2" s="521"/>
      <c r="E2" s="521"/>
      <c r="F2" s="521"/>
      <c r="G2" s="521"/>
      <c r="H2" s="521"/>
      <c r="I2" s="521"/>
      <c r="J2" s="521"/>
      <c r="K2" s="521"/>
      <c r="L2" s="521"/>
      <c r="M2" s="521"/>
      <c r="N2" s="521"/>
      <c r="O2" s="521"/>
      <c r="P2" s="521"/>
      <c r="Q2" s="521"/>
      <c r="R2" s="521"/>
      <c r="S2" s="521"/>
      <c r="T2" s="521"/>
      <c r="U2" s="521"/>
      <c r="V2" s="521"/>
    </row>
    <row r="3" spans="2:23" s="2" customFormat="1" ht="18">
      <c r="C3" s="521"/>
      <c r="D3" s="521"/>
      <c r="E3" s="521"/>
      <c r="F3" s="521"/>
      <c r="G3" s="521"/>
      <c r="H3" s="521"/>
      <c r="I3" s="36"/>
      <c r="J3" s="33"/>
      <c r="K3" s="33"/>
      <c r="L3" s="33"/>
      <c r="M3" s="33"/>
      <c r="N3" s="33"/>
      <c r="O3" s="33"/>
      <c r="P3" s="33"/>
      <c r="Q3" s="33"/>
      <c r="R3" s="33"/>
      <c r="S3" s="33"/>
      <c r="T3" s="33"/>
      <c r="U3" s="33"/>
    </row>
    <row r="4" spans="2:23" s="2" customFormat="1" ht="18">
      <c r="C4" s="521"/>
      <c r="D4" s="521"/>
      <c r="E4" s="521"/>
      <c r="F4" s="521"/>
      <c r="G4" s="521"/>
      <c r="H4" s="521"/>
      <c r="I4" s="36"/>
      <c r="J4" s="33"/>
      <c r="K4" s="33"/>
      <c r="L4" s="33"/>
      <c r="M4" s="33"/>
      <c r="N4" s="33"/>
      <c r="O4" s="33"/>
      <c r="P4" s="33"/>
      <c r="Q4" s="33"/>
      <c r="R4" s="33"/>
      <c r="S4" s="33"/>
      <c r="T4" s="33"/>
      <c r="U4" s="33"/>
    </row>
    <row r="5" spans="2:23" s="2" customFormat="1" ht="15.75">
      <c r="E5" s="3"/>
      <c r="F5" s="3"/>
      <c r="G5" s="3"/>
    </row>
    <row r="6" spans="2:23" s="2" customFormat="1"/>
    <row r="8" spans="2:23" ht="15.75">
      <c r="E8" s="58"/>
      <c r="F8" s="554"/>
      <c r="G8" s="554"/>
      <c r="H8" s="554"/>
      <c r="I8" s="554"/>
      <c r="J8" s="554"/>
      <c r="K8" s="554"/>
      <c r="L8" s="554"/>
      <c r="M8" s="554"/>
      <c r="N8" s="554"/>
      <c r="O8" s="554"/>
      <c r="P8" s="554"/>
      <c r="Q8" s="554"/>
      <c r="R8" s="554"/>
      <c r="S8" s="554"/>
      <c r="T8" s="554"/>
      <c r="U8" s="554"/>
      <c r="V8" s="554"/>
      <c r="W8" s="58"/>
    </row>
    <row r="11" spans="2:23" ht="33.75" customHeight="1">
      <c r="B11" s="383" t="s">
        <v>47</v>
      </c>
    </row>
    <row r="13" spans="2:23" ht="25.5">
      <c r="B13" s="41" t="s">
        <v>37</v>
      </c>
      <c r="D13" s="42" t="s">
        <v>41</v>
      </c>
      <c r="E13" s="119"/>
      <c r="F13" s="300" t="s">
        <v>156</v>
      </c>
      <c r="G13" s="145"/>
      <c r="H13" s="26"/>
      <c r="I13" s="26"/>
      <c r="J13" s="300" t="str">
        <f>IF(N13="","","Adjustments")</f>
        <v>Adjustments</v>
      </c>
      <c r="K13" s="145"/>
      <c r="L13" s="26"/>
      <c r="M13" s="26"/>
      <c r="N13" s="300" t="str">
        <f>IF(ISBLANK('3. Data_Input_Sheet'!M12),"",'3. Data_Input_Sheet'!M12)</f>
        <v>Close of Discovery</v>
      </c>
      <c r="O13" s="26"/>
      <c r="P13" s="26"/>
      <c r="Q13" s="26"/>
      <c r="R13" s="300" t="str">
        <f>IF(N13="","","Adjustments")</f>
        <v>Adjustments</v>
      </c>
      <c r="S13" s="26"/>
      <c r="T13" s="26"/>
      <c r="U13" s="26"/>
      <c r="V13" s="300" t="str">
        <f>'3. Data_Input_Sheet'!U12</f>
        <v>Per Board Decision</v>
      </c>
    </row>
    <row r="15" spans="2:23">
      <c r="D15" s="27" t="s">
        <v>24</v>
      </c>
    </row>
    <row r="16" spans="2:23" ht="25.5">
      <c r="B16" s="171">
        <v>1</v>
      </c>
      <c r="D16" s="28" t="s">
        <v>129</v>
      </c>
      <c r="E16" s="120"/>
      <c r="F16" s="233">
        <f>'3. Data_Input_Sheet'!E26</f>
        <v>24975.153694580666</v>
      </c>
      <c r="G16" s="233"/>
      <c r="H16" s="363"/>
      <c r="I16" s="240"/>
      <c r="J16" s="233">
        <f>N16-F16</f>
        <v>-1234.6233006325674</v>
      </c>
      <c r="K16" s="233"/>
      <c r="L16" s="363"/>
      <c r="M16" s="240"/>
      <c r="N16" s="233">
        <f>'3. Data_Input_Sheet'!M26</f>
        <v>23740.530393948098</v>
      </c>
      <c r="O16" s="240"/>
      <c r="P16" s="363"/>
      <c r="Q16" s="240"/>
      <c r="R16" s="233">
        <f>V16-N16</f>
        <v>0</v>
      </c>
      <c r="S16" s="240"/>
      <c r="T16" s="363"/>
      <c r="U16" s="240"/>
      <c r="V16" s="233">
        <f>IF(ISBLANK('3. Data_Input_Sheet'!U26),'5. Utility Income'!N16,'3. Data_Input_Sheet'!U26)</f>
        <v>23740.530393948098</v>
      </c>
    </row>
    <row r="17" spans="2:26">
      <c r="B17" s="171">
        <v>2</v>
      </c>
      <c r="D17" s="5" t="s">
        <v>64</v>
      </c>
      <c r="E17" s="18" t="s">
        <v>2</v>
      </c>
      <c r="F17" s="249">
        <f>F48</f>
        <v>1395.4404881099958</v>
      </c>
      <c r="G17" s="250"/>
      <c r="H17" s="363"/>
      <c r="I17" s="240"/>
      <c r="J17" s="249">
        <f>N17-F17</f>
        <v>-5.7906017178618185</v>
      </c>
      <c r="K17" s="250"/>
      <c r="L17" s="363"/>
      <c r="M17" s="240"/>
      <c r="N17" s="249">
        <f>N48</f>
        <v>1389.649886392134</v>
      </c>
      <c r="O17" s="240"/>
      <c r="P17" s="363"/>
      <c r="Q17" s="240"/>
      <c r="R17" s="249">
        <f>V17-N17</f>
        <v>0</v>
      </c>
      <c r="S17" s="240"/>
      <c r="T17" s="363"/>
      <c r="U17" s="240"/>
      <c r="V17" s="249">
        <f>V48</f>
        <v>1389.649886392134</v>
      </c>
    </row>
    <row r="18" spans="2:26">
      <c r="B18" s="171"/>
      <c r="F18" s="552">
        <f>SUM(F16:F17)</f>
        <v>26370.59418269066</v>
      </c>
      <c r="G18" s="48"/>
      <c r="H18" s="268"/>
      <c r="I18" s="268"/>
      <c r="J18" s="552">
        <f>SUM(J16:J17)</f>
        <v>-1240.4139023504292</v>
      </c>
      <c r="K18" s="48"/>
      <c r="L18" s="268"/>
      <c r="M18" s="269"/>
      <c r="N18" s="552">
        <f>SUM(N16:N17)</f>
        <v>25130.180280340232</v>
      </c>
      <c r="O18" s="269"/>
      <c r="P18" s="268"/>
      <c r="Q18" s="269"/>
      <c r="R18" s="552">
        <f>SUM(R16:R17)</f>
        <v>0</v>
      </c>
      <c r="S18" s="269"/>
      <c r="T18" s="268"/>
      <c r="U18" s="269"/>
      <c r="V18" s="552">
        <f>SUM(V16:V17)</f>
        <v>25130.180280340232</v>
      </c>
    </row>
    <row r="19" spans="2:26">
      <c r="B19" s="171">
        <v>3</v>
      </c>
      <c r="D19" s="5" t="s">
        <v>114</v>
      </c>
      <c r="F19" s="553"/>
      <c r="G19" s="48"/>
      <c r="H19" s="268"/>
      <c r="I19" s="268"/>
      <c r="J19" s="553"/>
      <c r="K19" s="48"/>
      <c r="L19" s="268"/>
      <c r="M19" s="269"/>
      <c r="N19" s="553"/>
      <c r="O19" s="269"/>
      <c r="P19" s="268"/>
      <c r="Q19" s="269"/>
      <c r="R19" s="553"/>
      <c r="S19" s="269"/>
      <c r="T19" s="268"/>
      <c r="U19" s="269"/>
      <c r="V19" s="553"/>
    </row>
    <row r="20" spans="2:26">
      <c r="B20" s="171"/>
      <c r="F20" s="253"/>
      <c r="G20" s="253"/>
      <c r="H20" s="252"/>
      <c r="I20" s="252"/>
      <c r="J20" s="253"/>
      <c r="K20" s="253"/>
      <c r="L20" s="252"/>
      <c r="M20" s="235"/>
      <c r="N20" s="253"/>
      <c r="O20" s="235"/>
      <c r="P20" s="252"/>
      <c r="Q20" s="235"/>
      <c r="R20" s="253"/>
      <c r="S20" s="235"/>
      <c r="T20" s="252"/>
      <c r="U20" s="235"/>
      <c r="V20" s="253"/>
    </row>
    <row r="21" spans="2:26">
      <c r="B21" s="171"/>
      <c r="D21" s="27" t="s">
        <v>25</v>
      </c>
      <c r="F21" s="253"/>
      <c r="G21" s="253"/>
      <c r="H21" s="252"/>
      <c r="I21" s="252"/>
      <c r="J21" s="253"/>
      <c r="K21" s="253"/>
      <c r="L21" s="252"/>
      <c r="M21" s="235"/>
      <c r="N21" s="253"/>
      <c r="O21" s="235"/>
      <c r="P21" s="252"/>
      <c r="Q21" s="235"/>
      <c r="R21" s="253"/>
      <c r="S21" s="235"/>
      <c r="T21" s="252"/>
      <c r="U21" s="235"/>
      <c r="V21" s="253"/>
    </row>
    <row r="22" spans="2:26">
      <c r="B22" s="171">
        <v>4</v>
      </c>
      <c r="D22" s="5" t="s">
        <v>39</v>
      </c>
      <c r="F22" s="233">
        <f>'3. Data_Input_Sheet'!E36</f>
        <v>13032.88066833308</v>
      </c>
      <c r="G22" s="233"/>
      <c r="H22" s="363"/>
      <c r="I22" s="240"/>
      <c r="J22" s="233">
        <f>'3. Data_Input_Sheet'!I36</f>
        <v>0</v>
      </c>
      <c r="K22" s="233"/>
      <c r="L22" s="363"/>
      <c r="M22" s="240"/>
      <c r="N22" s="233">
        <f>'3. Data_Input_Sheet'!M36</f>
        <v>13032.88066833308</v>
      </c>
      <c r="O22" s="240"/>
      <c r="P22" s="363"/>
      <c r="Q22" s="240"/>
      <c r="R22" s="233">
        <f>'3. Data_Input_Sheet'!Q36</f>
        <v>0</v>
      </c>
      <c r="S22" s="240"/>
      <c r="T22" s="363"/>
      <c r="U22" s="240"/>
      <c r="V22" s="233">
        <f>'3. Data_Input_Sheet'!U36</f>
        <v>13032.88066833308</v>
      </c>
    </row>
    <row r="23" spans="2:26">
      <c r="B23" s="171">
        <v>5</v>
      </c>
      <c r="D23" s="5" t="s">
        <v>26</v>
      </c>
      <c r="F23" s="233">
        <f>'3. Data_Input_Sheet'!E37</f>
        <v>5211.3096815439585</v>
      </c>
      <c r="G23" s="233"/>
      <c r="H23" s="363"/>
      <c r="I23" s="240"/>
      <c r="J23" s="233">
        <f>'3. Data_Input_Sheet'!I37</f>
        <v>-176.76388888888869</v>
      </c>
      <c r="K23" s="233"/>
      <c r="L23" s="363"/>
      <c r="M23" s="240"/>
      <c r="N23" s="233">
        <f>'3. Data_Input_Sheet'!M37</f>
        <v>5034.5457926550698</v>
      </c>
      <c r="O23" s="240"/>
      <c r="P23" s="363"/>
      <c r="Q23" s="240"/>
      <c r="R23" s="233">
        <f>'3. Data_Input_Sheet'!Q37</f>
        <v>0</v>
      </c>
      <c r="S23" s="240"/>
      <c r="T23" s="363"/>
      <c r="U23" s="240"/>
      <c r="V23" s="233">
        <f>'3. Data_Input_Sheet'!U37</f>
        <v>5034.5457926550698</v>
      </c>
    </row>
    <row r="24" spans="2:26">
      <c r="B24" s="171">
        <v>6</v>
      </c>
      <c r="C24" s="15"/>
      <c r="D24" s="15" t="s">
        <v>44</v>
      </c>
      <c r="E24" s="15"/>
      <c r="F24" s="233">
        <f>'3. Data_Input_Sheet'!E38</f>
        <v>168.47252681144457</v>
      </c>
      <c r="G24" s="233"/>
      <c r="H24" s="363"/>
      <c r="I24" s="240"/>
      <c r="J24" s="233">
        <f>'3. Data_Input_Sheet'!I38</f>
        <v>0</v>
      </c>
      <c r="K24" s="233"/>
      <c r="L24" s="363"/>
      <c r="M24" s="240"/>
      <c r="N24" s="233">
        <f>'3. Data_Input_Sheet'!M38</f>
        <v>168.47252681144457</v>
      </c>
      <c r="O24" s="240"/>
      <c r="P24" s="363"/>
      <c r="Q24" s="240"/>
      <c r="R24" s="233">
        <f>'3. Data_Input_Sheet'!Q38</f>
        <v>0</v>
      </c>
      <c r="S24" s="240"/>
      <c r="T24" s="363"/>
      <c r="U24" s="240"/>
      <c r="V24" s="233">
        <f>'3. Data_Input_Sheet'!U38</f>
        <v>168.47252681144457</v>
      </c>
      <c r="W24" s="15"/>
      <c r="X24" s="15"/>
      <c r="Y24" s="15"/>
      <c r="Z24" s="15"/>
    </row>
    <row r="25" spans="2:26">
      <c r="B25" s="171">
        <v>7</v>
      </c>
      <c r="C25" s="15"/>
      <c r="D25" s="15" t="s">
        <v>43</v>
      </c>
      <c r="E25" s="15"/>
      <c r="F25" s="251">
        <f>'6. Taxes_PILs'!G25</f>
        <v>0</v>
      </c>
      <c r="G25" s="251"/>
      <c r="H25" s="363"/>
      <c r="I25" s="240"/>
      <c r="J25" s="251">
        <f>N25-F25</f>
        <v>0</v>
      </c>
      <c r="K25" s="251"/>
      <c r="L25" s="363"/>
      <c r="M25" s="240"/>
      <c r="N25" s="251">
        <f>'6. Taxes_PILs'!K25</f>
        <v>0</v>
      </c>
      <c r="O25" s="240"/>
      <c r="P25" s="390"/>
      <c r="Q25" s="240"/>
      <c r="R25" s="251">
        <f>V25-N25</f>
        <v>0</v>
      </c>
      <c r="S25" s="240"/>
      <c r="T25" s="363"/>
      <c r="U25" s="240"/>
      <c r="V25" s="251">
        <f>'6. Taxes_PILs'!O25</f>
        <v>0</v>
      </c>
      <c r="W25" s="15"/>
      <c r="X25" s="15"/>
      <c r="Y25" s="15"/>
      <c r="Z25" s="15"/>
    </row>
    <row r="26" spans="2:26">
      <c r="B26" s="171">
        <v>8</v>
      </c>
      <c r="D26" s="5" t="s">
        <v>94</v>
      </c>
      <c r="F26" s="249">
        <f>'3. Data_Input_Sheet'!E40</f>
        <v>32.478756907871151</v>
      </c>
      <c r="G26" s="250"/>
      <c r="H26" s="363"/>
      <c r="I26" s="240"/>
      <c r="J26" s="249">
        <f>'3. Data_Input_Sheet'!I40</f>
        <v>0</v>
      </c>
      <c r="K26" s="250"/>
      <c r="L26" s="363"/>
      <c r="M26" s="240"/>
      <c r="N26" s="249">
        <f>'3. Data_Input_Sheet'!M40</f>
        <v>32.478756907871151</v>
      </c>
      <c r="O26" s="240"/>
      <c r="P26" s="363"/>
      <c r="Q26" s="240"/>
      <c r="R26" s="249">
        <f>'3. Data_Input_Sheet'!Q40</f>
        <v>0</v>
      </c>
      <c r="S26" s="240"/>
      <c r="T26" s="363"/>
      <c r="U26" s="240"/>
      <c r="V26" s="249">
        <f>'3. Data_Input_Sheet'!U40</f>
        <v>32.478756907871151</v>
      </c>
    </row>
    <row r="27" spans="2:26">
      <c r="B27" s="171"/>
      <c r="D27" s="25"/>
      <c r="F27" s="539">
        <f>SUM(F22:F26)</f>
        <v>18445.141633596359</v>
      </c>
      <c r="G27" s="49"/>
      <c r="H27" s="268"/>
      <c r="I27" s="268"/>
      <c r="J27" s="539">
        <f>SUM(J22:J26)</f>
        <v>-176.76388888888869</v>
      </c>
      <c r="K27" s="49"/>
      <c r="L27" s="268"/>
      <c r="M27" s="268"/>
      <c r="N27" s="539">
        <f>SUM(N22:N26)</f>
        <v>18268.377744707468</v>
      </c>
      <c r="O27" s="268"/>
      <c r="P27" s="268"/>
      <c r="Q27" s="268"/>
      <c r="R27" s="539">
        <f>SUM(R22:R26)</f>
        <v>0</v>
      </c>
      <c r="S27" s="268"/>
      <c r="T27" s="268"/>
      <c r="U27" s="268"/>
      <c r="V27" s="539">
        <f>SUM(V22:V26)</f>
        <v>18268.377744707468</v>
      </c>
    </row>
    <row r="28" spans="2:26">
      <c r="B28" s="171">
        <v>9</v>
      </c>
      <c r="D28" s="121" t="s">
        <v>157</v>
      </c>
      <c r="F28" s="551"/>
      <c r="G28" s="49"/>
      <c r="H28" s="268"/>
      <c r="I28" s="268"/>
      <c r="J28" s="551"/>
      <c r="K28" s="49"/>
      <c r="L28" s="268"/>
      <c r="M28" s="268"/>
      <c r="N28" s="551"/>
      <c r="O28" s="268"/>
      <c r="P28" s="268"/>
      <c r="Q28" s="268"/>
      <c r="R28" s="551"/>
      <c r="S28" s="268"/>
      <c r="T28" s="268"/>
      <c r="U28" s="268"/>
      <c r="V28" s="551"/>
    </row>
    <row r="29" spans="2:26">
      <c r="B29" s="171"/>
      <c r="F29" s="254"/>
      <c r="G29" s="254"/>
      <c r="H29" s="252"/>
      <c r="I29" s="252"/>
      <c r="J29" s="254"/>
      <c r="K29" s="254"/>
      <c r="L29" s="252"/>
      <c r="M29" s="252"/>
      <c r="N29" s="254"/>
      <c r="O29" s="252"/>
      <c r="P29" s="252"/>
      <c r="Q29" s="252"/>
      <c r="R29" s="254"/>
      <c r="S29" s="252"/>
      <c r="T29" s="252"/>
      <c r="U29" s="252"/>
      <c r="V29" s="254"/>
    </row>
    <row r="30" spans="2:26">
      <c r="B30" s="171">
        <v>10</v>
      </c>
      <c r="D30" s="25" t="s">
        <v>95</v>
      </c>
      <c r="F30" s="255">
        <f>'7. Cost_of_Capital'!P19</f>
        <v>2874.9108730923822</v>
      </c>
      <c r="G30" s="254"/>
      <c r="H30" s="252"/>
      <c r="I30" s="252"/>
      <c r="J30" s="255">
        <f>N30-F30</f>
        <v>-541.86599524509847</v>
      </c>
      <c r="K30" s="254"/>
      <c r="L30" s="252"/>
      <c r="M30" s="252"/>
      <c r="N30" s="255">
        <f>'7. Cost_of_Capital'!P35</f>
        <v>2333.0448778472837</v>
      </c>
      <c r="O30" s="252"/>
      <c r="P30" s="252"/>
      <c r="Q30" s="252"/>
      <c r="R30" s="255">
        <f>V30-N30</f>
        <v>0</v>
      </c>
      <c r="S30" s="252"/>
      <c r="T30" s="252"/>
      <c r="U30" s="252"/>
      <c r="V30" s="255">
        <f>'7. Cost_of_Capital'!P51</f>
        <v>2333.0448778472837</v>
      </c>
    </row>
    <row r="31" spans="2:26">
      <c r="B31" s="171"/>
      <c r="F31" s="254"/>
      <c r="G31" s="254"/>
      <c r="H31" s="252"/>
      <c r="I31" s="252"/>
      <c r="J31" s="254"/>
      <c r="K31" s="254"/>
      <c r="L31" s="252"/>
      <c r="M31" s="252"/>
      <c r="N31" s="254"/>
      <c r="O31" s="252"/>
      <c r="P31" s="252"/>
      <c r="Q31" s="252"/>
      <c r="R31" s="254"/>
      <c r="S31" s="252"/>
      <c r="T31" s="252"/>
      <c r="U31" s="252"/>
      <c r="V31" s="254"/>
    </row>
    <row r="32" spans="2:26">
      <c r="B32" s="171">
        <v>11</v>
      </c>
      <c r="D32" s="121" t="s">
        <v>158</v>
      </c>
      <c r="F32" s="254">
        <f>F27+F30</f>
        <v>21320.052506688742</v>
      </c>
      <c r="G32" s="254"/>
      <c r="H32" s="252"/>
      <c r="I32" s="252"/>
      <c r="J32" s="254">
        <f>J30+J27</f>
        <v>-718.62988413398716</v>
      </c>
      <c r="K32" s="254"/>
      <c r="L32" s="252"/>
      <c r="M32" s="252"/>
      <c r="N32" s="254">
        <f>N30+N27</f>
        <v>20601.422622554754</v>
      </c>
      <c r="O32" s="252"/>
      <c r="P32" s="252"/>
      <c r="Q32" s="252"/>
      <c r="R32" s="254">
        <f>R30+R27</f>
        <v>0</v>
      </c>
      <c r="S32" s="252"/>
      <c r="T32" s="252"/>
      <c r="U32" s="252"/>
      <c r="V32" s="254">
        <f>V27+V30</f>
        <v>20601.422622554754</v>
      </c>
    </row>
    <row r="33" spans="2:24">
      <c r="B33" s="171"/>
      <c r="F33" s="387"/>
      <c r="G33" s="48"/>
      <c r="H33" s="268"/>
      <c r="I33" s="268"/>
      <c r="J33" s="387"/>
      <c r="K33" s="48"/>
      <c r="L33" s="268"/>
      <c r="M33" s="268"/>
      <c r="N33" s="387"/>
      <c r="O33" s="268"/>
      <c r="P33" s="268"/>
      <c r="Q33" s="268"/>
      <c r="R33" s="387"/>
      <c r="S33" s="268"/>
      <c r="T33" s="268"/>
      <c r="U33" s="268"/>
      <c r="V33" s="387"/>
    </row>
    <row r="34" spans="2:24" ht="26.25" thickBot="1">
      <c r="B34" s="171">
        <v>12</v>
      </c>
      <c r="D34" s="56" t="s">
        <v>97</v>
      </c>
      <c r="E34" s="120"/>
      <c r="F34" s="388">
        <f>F18-(F32)</f>
        <v>5050.5416760019179</v>
      </c>
      <c r="G34" s="48"/>
      <c r="H34" s="122"/>
      <c r="I34" s="122"/>
      <c r="J34" s="388">
        <f>J18-(J32)</f>
        <v>-521.78401821644206</v>
      </c>
      <c r="K34" s="48"/>
      <c r="L34" s="123"/>
      <c r="M34" s="123"/>
      <c r="N34" s="388">
        <f>N18-(N32)</f>
        <v>4528.7576577854779</v>
      </c>
      <c r="O34" s="123"/>
      <c r="P34" s="123"/>
      <c r="Q34" s="123"/>
      <c r="R34" s="388">
        <f>R18-(R32)</f>
        <v>0</v>
      </c>
      <c r="S34" s="123"/>
      <c r="T34" s="123"/>
      <c r="U34" s="123"/>
      <c r="V34" s="388">
        <f>V18-(V32)</f>
        <v>4528.7576577854779</v>
      </c>
      <c r="X34" s="22"/>
    </row>
    <row r="35" spans="2:24" ht="13.5" thickTop="1">
      <c r="B35" s="171"/>
      <c r="F35" s="547">
        <f>'6. Taxes_PILs'!G31</f>
        <v>496.1205704473133</v>
      </c>
      <c r="G35" s="49"/>
      <c r="H35" s="268"/>
      <c r="I35" s="268"/>
      <c r="J35" s="547">
        <f>N35-F35</f>
        <v>-29.271303036452309</v>
      </c>
      <c r="K35" s="49"/>
      <c r="L35" s="268"/>
      <c r="M35" s="268"/>
      <c r="N35" s="547">
        <f>'6. Taxes_PILs'!K31</f>
        <v>466.84926741086099</v>
      </c>
      <c r="O35" s="268"/>
      <c r="P35" s="268"/>
      <c r="Q35" s="268"/>
      <c r="R35" s="547">
        <f>V35-N35</f>
        <v>0</v>
      </c>
      <c r="S35" s="268"/>
      <c r="T35" s="268"/>
      <c r="U35" s="268"/>
      <c r="V35" s="547">
        <f>IF('6. Taxes_PILs'!O31=0,N35,'6. Taxes_PILs'!O31)</f>
        <v>466.84926741086099</v>
      </c>
    </row>
    <row r="36" spans="2:24">
      <c r="B36" s="171">
        <v>13</v>
      </c>
      <c r="D36" s="25" t="s">
        <v>108</v>
      </c>
      <c r="F36" s="548"/>
      <c r="G36" s="49"/>
      <c r="H36" s="268"/>
      <c r="I36" s="268"/>
      <c r="J36" s="548"/>
      <c r="K36" s="49"/>
      <c r="L36" s="268"/>
      <c r="M36" s="268"/>
      <c r="N36" s="548"/>
      <c r="O36" s="268"/>
      <c r="P36" s="268"/>
      <c r="Q36" s="268"/>
      <c r="R36" s="548"/>
      <c r="S36" s="268"/>
      <c r="T36" s="268"/>
      <c r="U36" s="268"/>
      <c r="V36" s="548"/>
    </row>
    <row r="37" spans="2:24">
      <c r="B37" s="171"/>
      <c r="F37" s="549">
        <f>F34-F35</f>
        <v>4554.4211055546048</v>
      </c>
      <c r="G37" s="149"/>
      <c r="H37" s="268"/>
      <c r="I37" s="268"/>
      <c r="J37" s="549">
        <f>J34-J35</f>
        <v>-492.51271517998975</v>
      </c>
      <c r="K37" s="149"/>
      <c r="L37" s="268"/>
      <c r="M37" s="268"/>
      <c r="N37" s="549">
        <f>N34-N35</f>
        <v>4061.9083903746168</v>
      </c>
      <c r="O37" s="268"/>
      <c r="P37" s="268"/>
      <c r="Q37" s="268"/>
      <c r="R37" s="549">
        <f>R34-R35</f>
        <v>0</v>
      </c>
      <c r="S37" s="268"/>
      <c r="T37" s="268"/>
      <c r="U37" s="268"/>
      <c r="V37" s="549">
        <f>V34-V35</f>
        <v>4061.9083903746168</v>
      </c>
    </row>
    <row r="38" spans="2:24" ht="13.5" thickBot="1">
      <c r="B38" s="171">
        <v>14</v>
      </c>
      <c r="D38" s="16" t="s">
        <v>105</v>
      </c>
      <c r="F38" s="550"/>
      <c r="G38" s="149"/>
      <c r="H38" s="122"/>
      <c r="I38" s="122"/>
      <c r="J38" s="550"/>
      <c r="K38" s="149"/>
      <c r="L38" s="122"/>
      <c r="M38" s="122"/>
      <c r="N38" s="550"/>
      <c r="O38" s="122"/>
      <c r="P38" s="122"/>
      <c r="Q38" s="122"/>
      <c r="R38" s="550"/>
      <c r="S38" s="122"/>
      <c r="T38" s="122"/>
      <c r="U38" s="122"/>
      <c r="V38" s="550"/>
    </row>
    <row r="39" spans="2:24" ht="13.5" thickTop="1"/>
    <row r="40" spans="2:24" ht="7.5" customHeight="1"/>
    <row r="42" spans="2:24">
      <c r="B42" s="557" t="s">
        <v>38</v>
      </c>
      <c r="C42" s="557"/>
      <c r="D42" s="557"/>
      <c r="E42" s="557"/>
      <c r="F42" s="557"/>
      <c r="G42" s="557"/>
      <c r="H42" s="557"/>
      <c r="I42" s="557"/>
      <c r="J42" s="557"/>
      <c r="K42" s="557"/>
      <c r="L42" s="557"/>
      <c r="M42" s="557"/>
      <c r="N42" s="557"/>
      <c r="O42" s="557"/>
      <c r="P42" s="557"/>
      <c r="Q42" s="557"/>
      <c r="R42" s="557"/>
      <c r="S42" s="557"/>
      <c r="T42" s="557"/>
      <c r="U42" s="557"/>
      <c r="V42" s="557"/>
    </row>
    <row r="43" spans="2:24">
      <c r="D43" s="82"/>
      <c r="E43" s="34"/>
      <c r="F43" s="34"/>
      <c r="G43" s="34"/>
      <c r="H43" s="34"/>
      <c r="I43" s="34"/>
      <c r="J43" s="34"/>
      <c r="K43" s="34"/>
      <c r="L43" s="34"/>
      <c r="M43" s="34"/>
      <c r="N43" s="34"/>
      <c r="O43" s="34"/>
      <c r="P43" s="34"/>
      <c r="Q43" s="34"/>
      <c r="R43" s="34"/>
      <c r="S43" s="34"/>
      <c r="T43" s="34"/>
      <c r="U43" s="34"/>
      <c r="V43" s="34"/>
    </row>
    <row r="44" spans="2:24">
      <c r="B44" s="18" t="s">
        <v>2</v>
      </c>
      <c r="D44" s="78" t="s">
        <v>53</v>
      </c>
      <c r="E44" s="34"/>
      <c r="F44" s="100">
        <f>'3. Data_Input_Sheet'!E28</f>
        <v>789.58496277779284</v>
      </c>
      <c r="G44" s="100"/>
      <c r="H44" s="367"/>
      <c r="I44" s="186"/>
      <c r="J44" s="100">
        <f>'3. Data_Input_Sheet'!I28</f>
        <v>-3.3695694501335538</v>
      </c>
      <c r="K44" s="100"/>
      <c r="L44" s="367"/>
      <c r="M44" s="34"/>
      <c r="N44" s="100">
        <f>'3. Data_Input_Sheet'!M28</f>
        <v>786.21539332765929</v>
      </c>
      <c r="O44" s="100"/>
      <c r="P44" s="367"/>
      <c r="Q44" s="34"/>
      <c r="R44" s="100">
        <f>'3. Data_Input_Sheet'!Q28</f>
        <v>0</v>
      </c>
      <c r="S44" s="100"/>
      <c r="T44" s="367"/>
      <c r="U44" s="34"/>
      <c r="V44" s="100">
        <f>IF(ISBLANK('3. Data_Input_Sheet'!U28),N44,'3. Data_Input_Sheet'!U28)</f>
        <v>786.21539332765929</v>
      </c>
    </row>
    <row r="45" spans="2:24">
      <c r="D45" s="78" t="s">
        <v>54</v>
      </c>
      <c r="E45" s="34"/>
      <c r="F45" s="100">
        <f>'3. Data_Input_Sheet'!E29</f>
        <v>305.94343299250335</v>
      </c>
      <c r="G45" s="100"/>
      <c r="H45" s="367"/>
      <c r="I45" s="186"/>
      <c r="J45" s="100">
        <f>'3. Data_Input_Sheet'!I29</f>
        <v>-1.3825047621622844</v>
      </c>
      <c r="K45" s="100"/>
      <c r="L45" s="367"/>
      <c r="M45" s="34"/>
      <c r="N45" s="100">
        <f>'3. Data_Input_Sheet'!M29</f>
        <v>304.56092823034106</v>
      </c>
      <c r="O45" s="100"/>
      <c r="P45" s="367"/>
      <c r="Q45" s="34"/>
      <c r="R45" s="100">
        <f>'3. Data_Input_Sheet'!Q29</f>
        <v>0</v>
      </c>
      <c r="S45" s="100"/>
      <c r="T45" s="367"/>
      <c r="U45" s="34"/>
      <c r="V45" s="100">
        <f>IF(ISBLANK('3. Data_Input_Sheet'!U29),N45,'3. Data_Input_Sheet'!U29)</f>
        <v>304.56092823034106</v>
      </c>
    </row>
    <row r="46" spans="2:24">
      <c r="D46" s="78" t="s">
        <v>55</v>
      </c>
      <c r="E46" s="34"/>
      <c r="F46" s="100">
        <f>'3. Data_Input_Sheet'!E30</f>
        <v>171.91209233969965</v>
      </c>
      <c r="G46" s="100"/>
      <c r="H46" s="367"/>
      <c r="I46" s="186"/>
      <c r="J46" s="100">
        <f>'3. Data_Input_Sheet'!I30</f>
        <v>-1.0385275055659804</v>
      </c>
      <c r="K46" s="100"/>
      <c r="L46" s="367"/>
      <c r="M46" s="34"/>
      <c r="N46" s="100">
        <f>'3. Data_Input_Sheet'!M30</f>
        <v>170.87356483413367</v>
      </c>
      <c r="O46" s="100"/>
      <c r="P46" s="367"/>
      <c r="Q46" s="34"/>
      <c r="R46" s="100">
        <f>'3. Data_Input_Sheet'!Q30</f>
        <v>0</v>
      </c>
      <c r="S46" s="100"/>
      <c r="T46" s="367"/>
      <c r="U46" s="34"/>
      <c r="V46" s="100">
        <f>IF(ISBLANK('3. Data_Input_Sheet'!U30),N46,'3. Data_Input_Sheet'!U30)</f>
        <v>170.87356483413367</v>
      </c>
    </row>
    <row r="47" spans="2:24">
      <c r="D47" s="78" t="s">
        <v>56</v>
      </c>
      <c r="E47" s="34"/>
      <c r="F47" s="100">
        <f>'3. Data_Input_Sheet'!E31</f>
        <v>128</v>
      </c>
      <c r="G47" s="100"/>
      <c r="H47" s="367"/>
      <c r="I47" s="186"/>
      <c r="J47" s="100">
        <f>'3. Data_Input_Sheet'!I31</f>
        <v>0</v>
      </c>
      <c r="K47" s="100"/>
      <c r="L47" s="367"/>
      <c r="M47" s="34"/>
      <c r="N47" s="100">
        <f>'3. Data_Input_Sheet'!M31</f>
        <v>128</v>
      </c>
      <c r="O47" s="100"/>
      <c r="P47" s="367"/>
      <c r="Q47" s="34"/>
      <c r="R47" s="100">
        <f>'3. Data_Input_Sheet'!Q31</f>
        <v>0</v>
      </c>
      <c r="S47" s="100"/>
      <c r="T47" s="367"/>
      <c r="U47" s="34"/>
      <c r="V47" s="100">
        <f>IF(ISBLANK('3. Data_Input_Sheet'!U31),N47,'3. Data_Input_Sheet'!U31)</f>
        <v>128</v>
      </c>
    </row>
    <row r="48" spans="2:24">
      <c r="D48" s="78"/>
      <c r="E48" s="34"/>
      <c r="F48" s="545">
        <f>SUM(F44:F47)</f>
        <v>1395.4404881099958</v>
      </c>
      <c r="G48" s="159"/>
      <c r="H48" s="34"/>
      <c r="I48" s="34"/>
      <c r="J48" s="545">
        <f>SUM(J44:J47)</f>
        <v>-5.7906017178618185</v>
      </c>
      <c r="K48" s="34"/>
      <c r="L48" s="34"/>
      <c r="M48" s="34"/>
      <c r="N48" s="545">
        <f>SUM(N44:N47)</f>
        <v>1389.649886392134</v>
      </c>
      <c r="O48" s="34"/>
      <c r="P48" s="34"/>
      <c r="Q48" s="34"/>
      <c r="R48" s="545">
        <f>SUM(R44:R47)</f>
        <v>0</v>
      </c>
      <c r="S48" s="34"/>
      <c r="T48" s="34"/>
      <c r="U48" s="34"/>
      <c r="V48" s="545">
        <f>SUM(V44:V47)</f>
        <v>1389.649886392134</v>
      </c>
    </row>
    <row r="49" spans="2:22" ht="13.5" thickBot="1">
      <c r="D49" s="314" t="s">
        <v>57</v>
      </c>
      <c r="E49" s="34"/>
      <c r="F49" s="546"/>
      <c r="G49" s="159"/>
      <c r="H49" s="34"/>
      <c r="I49" s="34"/>
      <c r="J49" s="546"/>
      <c r="K49" s="34"/>
      <c r="L49" s="34"/>
      <c r="M49" s="34"/>
      <c r="N49" s="546"/>
      <c r="O49" s="34"/>
      <c r="P49" s="34"/>
      <c r="Q49" s="34"/>
      <c r="R49" s="546"/>
      <c r="S49" s="34"/>
      <c r="T49" s="34"/>
      <c r="U49" s="34"/>
      <c r="V49" s="546"/>
    </row>
    <row r="50" spans="2:22" ht="13.5" thickTop="1">
      <c r="D50" s="34"/>
      <c r="E50" s="34"/>
      <c r="F50" s="34"/>
      <c r="G50" s="34"/>
      <c r="H50" s="34"/>
      <c r="I50" s="34"/>
      <c r="J50" s="34"/>
      <c r="K50" s="34"/>
      <c r="L50" s="34"/>
      <c r="M50" s="34"/>
      <c r="N50" s="34"/>
      <c r="O50" s="34"/>
      <c r="P50" s="34"/>
      <c r="Q50" s="34"/>
      <c r="R50" s="34"/>
      <c r="S50" s="34"/>
      <c r="T50" s="34"/>
      <c r="U50" s="34"/>
      <c r="V50" s="34"/>
    </row>
    <row r="51" spans="2:22">
      <c r="D51" s="34"/>
      <c r="E51" s="34"/>
      <c r="F51" s="34"/>
      <c r="G51" s="34"/>
      <c r="H51" s="34"/>
      <c r="I51" s="34"/>
      <c r="J51" s="34"/>
      <c r="K51" s="34"/>
      <c r="L51" s="34"/>
      <c r="M51" s="34"/>
      <c r="N51" s="34"/>
      <c r="O51" s="34"/>
      <c r="P51" s="34"/>
      <c r="Q51" s="34"/>
      <c r="R51" s="34"/>
      <c r="S51" s="34"/>
      <c r="T51" s="34"/>
      <c r="U51" s="34"/>
      <c r="V51" s="34"/>
    </row>
    <row r="52" spans="2:22">
      <c r="B52" s="368"/>
      <c r="D52" s="555"/>
      <c r="E52" s="555"/>
      <c r="F52" s="555"/>
      <c r="G52" s="555"/>
      <c r="H52" s="555"/>
      <c r="I52" s="555"/>
      <c r="J52" s="555"/>
      <c r="K52" s="555"/>
      <c r="L52" s="555"/>
      <c r="M52" s="555"/>
      <c r="N52" s="555"/>
      <c r="O52" s="555"/>
      <c r="P52" s="555"/>
      <c r="Q52" s="555"/>
      <c r="R52" s="555"/>
      <c r="S52" s="555"/>
      <c r="T52" s="555"/>
      <c r="U52" s="555"/>
      <c r="V52" s="555"/>
    </row>
    <row r="53" spans="2:22">
      <c r="B53" s="368"/>
      <c r="D53" s="555"/>
      <c r="E53" s="555"/>
      <c r="F53" s="555"/>
      <c r="G53" s="555"/>
      <c r="H53" s="555"/>
      <c r="I53" s="555"/>
      <c r="J53" s="555"/>
      <c r="K53" s="555"/>
      <c r="L53" s="555"/>
      <c r="M53" s="555"/>
      <c r="N53" s="555"/>
      <c r="O53" s="555"/>
      <c r="P53" s="555"/>
      <c r="Q53" s="555"/>
      <c r="R53" s="555"/>
      <c r="S53" s="555"/>
      <c r="T53" s="555"/>
      <c r="U53" s="555"/>
      <c r="V53" s="555"/>
    </row>
    <row r="54" spans="2:22">
      <c r="B54" s="368"/>
      <c r="D54" s="556"/>
      <c r="E54" s="555"/>
      <c r="F54" s="555"/>
      <c r="G54" s="555"/>
      <c r="H54" s="555"/>
      <c r="I54" s="555"/>
      <c r="J54" s="555"/>
      <c r="K54" s="555"/>
      <c r="L54" s="555"/>
      <c r="M54" s="555"/>
      <c r="N54" s="555"/>
      <c r="O54" s="555"/>
      <c r="P54" s="555"/>
      <c r="Q54" s="555"/>
      <c r="R54" s="555"/>
      <c r="S54" s="555"/>
      <c r="T54" s="555"/>
      <c r="U54" s="555"/>
      <c r="V54" s="555"/>
    </row>
    <row r="55" spans="2:22">
      <c r="B55" s="368"/>
      <c r="D55" s="555"/>
      <c r="E55" s="555"/>
      <c r="F55" s="555"/>
      <c r="G55" s="555"/>
      <c r="H55" s="555"/>
      <c r="I55" s="555"/>
      <c r="J55" s="555"/>
      <c r="K55" s="555"/>
      <c r="L55" s="555"/>
      <c r="M55" s="555"/>
      <c r="N55" s="555"/>
      <c r="O55" s="555"/>
      <c r="P55" s="555"/>
      <c r="Q55" s="555"/>
      <c r="R55" s="555"/>
      <c r="S55" s="555"/>
      <c r="T55" s="555"/>
      <c r="U55" s="555"/>
      <c r="V55" s="555"/>
    </row>
    <row r="56" spans="2:22">
      <c r="B56" s="368"/>
      <c r="D56" s="555"/>
      <c r="E56" s="555"/>
      <c r="F56" s="555"/>
      <c r="G56" s="555"/>
      <c r="H56" s="555"/>
      <c r="I56" s="555"/>
      <c r="J56" s="555"/>
      <c r="K56" s="555"/>
      <c r="L56" s="555"/>
      <c r="M56" s="555"/>
      <c r="N56" s="555"/>
      <c r="O56" s="555"/>
      <c r="P56" s="555"/>
      <c r="Q56" s="555"/>
      <c r="R56" s="555"/>
      <c r="S56" s="555"/>
      <c r="T56" s="555"/>
      <c r="U56" s="555"/>
      <c r="V56" s="555"/>
    </row>
    <row r="57" spans="2:22">
      <c r="B57" s="368"/>
      <c r="D57" s="555"/>
      <c r="E57" s="555"/>
      <c r="F57" s="555"/>
      <c r="G57" s="555"/>
      <c r="H57" s="555"/>
      <c r="I57" s="555"/>
      <c r="J57" s="555"/>
      <c r="K57" s="555"/>
      <c r="L57" s="555"/>
      <c r="M57" s="555"/>
      <c r="N57" s="555"/>
      <c r="O57" s="555"/>
      <c r="P57" s="555"/>
      <c r="Q57" s="555"/>
      <c r="R57" s="555"/>
      <c r="S57" s="555"/>
      <c r="T57" s="555"/>
      <c r="U57" s="555"/>
      <c r="V57" s="555"/>
    </row>
  </sheetData>
  <sheetProtection password="82A3" sheet="1" objects="1" scenarios="1" formatColumns="0" formatRows="0"/>
  <mergeCells count="37">
    <mergeCell ref="D57:V57"/>
    <mergeCell ref="D55:V55"/>
    <mergeCell ref="D56:V56"/>
    <mergeCell ref="D52:V52"/>
    <mergeCell ref="F27:F28"/>
    <mergeCell ref="D54:V54"/>
    <mergeCell ref="D53:V53"/>
    <mergeCell ref="F48:F49"/>
    <mergeCell ref="V48:V49"/>
    <mergeCell ref="B42:V42"/>
    <mergeCell ref="N37:N38"/>
    <mergeCell ref="V27:V28"/>
    <mergeCell ref="N27:N28"/>
    <mergeCell ref="N35:N36"/>
    <mergeCell ref="R27:R28"/>
    <mergeCell ref="R35:R36"/>
    <mergeCell ref="C1:L1"/>
    <mergeCell ref="C3:H3"/>
    <mergeCell ref="C4:H4"/>
    <mergeCell ref="C2:V2"/>
    <mergeCell ref="V18:V19"/>
    <mergeCell ref="N18:N19"/>
    <mergeCell ref="R18:R19"/>
    <mergeCell ref="F8:V8"/>
    <mergeCell ref="F18:F19"/>
    <mergeCell ref="J18:J19"/>
    <mergeCell ref="J27:J28"/>
    <mergeCell ref="V35:V36"/>
    <mergeCell ref="F35:F36"/>
    <mergeCell ref="V37:V38"/>
    <mergeCell ref="F37:F38"/>
    <mergeCell ref="R37:R38"/>
    <mergeCell ref="J48:J49"/>
    <mergeCell ref="N48:N49"/>
    <mergeCell ref="R48:R49"/>
    <mergeCell ref="J35:J36"/>
    <mergeCell ref="J37:J38"/>
  </mergeCells>
  <phoneticPr fontId="2" type="noConversion"/>
  <conditionalFormatting sqref="J13">
    <cfRule type="cellIs" dxfId="6" priority="1" stopIfTrue="1" operator="equal">
      <formula>""</formula>
    </cfRule>
  </conditionalFormatting>
  <conditionalFormatting sqref="N13 R13">
    <cfRule type="cellIs" dxfId="5" priority="2" stopIfTrue="1" operator="equal">
      <formula>""</formula>
    </cfRule>
  </conditionalFormatting>
  <printOptions horizontalCentered="1"/>
  <pageMargins left="0.74803149606299213" right="0.74803149606299213" top="0.47244094488188981" bottom="0.98425196850393704" header="0.31496062992125984" footer="0.51181102362204722"/>
  <pageSetup scale="58" orientation="landscape" r:id="rId1"/>
  <headerFooter alignWithMargins="0">
    <oddFooter>&amp;C4</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1:U53"/>
  <sheetViews>
    <sheetView showGridLines="0" zoomScaleNormal="100" zoomScaleSheetLayoutView="100" workbookViewId="0">
      <selection activeCell="S38" sqref="S38"/>
    </sheetView>
  </sheetViews>
  <sheetFormatPr defaultColWidth="9.140625" defaultRowHeight="12.75"/>
  <cols>
    <col min="1" max="1" width="1.7109375" style="5" customWidth="1"/>
    <col min="2" max="2" width="5.85546875" style="5" customWidth="1"/>
    <col min="3" max="3" width="5.7109375" style="5" customWidth="1"/>
    <col min="4" max="4" width="22.28515625" style="5" customWidth="1"/>
    <col min="5" max="5" width="15.28515625" style="5" customWidth="1"/>
    <col min="6" max="6" width="1.7109375" style="5" customWidth="1"/>
    <col min="7" max="7" width="15.7109375" style="5" customWidth="1"/>
    <col min="8" max="8" width="1.7109375" style="5" customWidth="1"/>
    <col min="9" max="9" width="3.42578125" style="5" customWidth="1"/>
    <col min="10" max="10" width="1.7109375" style="5" customWidth="1"/>
    <col min="11" max="11" width="15.7109375" style="5" customWidth="1"/>
    <col min="12" max="12" width="1.7109375" style="5" customWidth="1"/>
    <col min="13" max="13" width="3.42578125" style="5" customWidth="1"/>
    <col min="14" max="14" width="1.7109375" style="5" customWidth="1"/>
    <col min="15" max="15" width="15.7109375" style="5" customWidth="1"/>
    <col min="16" max="16" width="1.28515625" style="5" customWidth="1"/>
    <col min="17" max="17" width="5.7109375" style="5" customWidth="1"/>
    <col min="18" max="18" width="8.28515625" style="5" customWidth="1"/>
    <col min="19" max="16384" width="9.140625" style="5"/>
  </cols>
  <sheetData>
    <row r="1" spans="2:16" s="2" customFormat="1" ht="21.75">
      <c r="D1" s="516"/>
      <c r="E1" s="516"/>
      <c r="F1" s="516"/>
      <c r="G1" s="516"/>
      <c r="H1" s="516"/>
      <c r="I1" s="516"/>
      <c r="J1" s="516"/>
      <c r="K1" s="516"/>
      <c r="L1" s="516"/>
      <c r="M1" s="516"/>
      <c r="N1" s="1"/>
      <c r="O1" s="147"/>
      <c r="P1" s="147"/>
    </row>
    <row r="2" spans="2:16" s="2" customFormat="1" ht="18">
      <c r="C2" s="521"/>
      <c r="D2" s="521"/>
      <c r="E2" s="521"/>
      <c r="F2" s="521"/>
      <c r="G2" s="521"/>
      <c r="H2" s="521"/>
      <c r="I2" s="521"/>
      <c r="J2" s="521"/>
      <c r="K2" s="521"/>
      <c r="L2" s="521"/>
      <c r="M2" s="521"/>
      <c r="N2" s="521"/>
      <c r="O2" s="521"/>
      <c r="P2" s="36"/>
    </row>
    <row r="3" spans="2:16" s="2" customFormat="1" ht="18">
      <c r="C3" s="521"/>
      <c r="D3" s="521"/>
      <c r="E3" s="521"/>
      <c r="F3" s="521"/>
      <c r="G3" s="521"/>
      <c r="H3" s="36"/>
      <c r="I3" s="36"/>
      <c r="J3" s="36"/>
      <c r="K3" s="36"/>
      <c r="L3" s="33"/>
      <c r="M3" s="33"/>
      <c r="N3" s="33"/>
      <c r="O3" s="33"/>
      <c r="P3" s="33"/>
    </row>
    <row r="4" spans="2:16" s="2" customFormat="1" ht="18">
      <c r="C4" s="521"/>
      <c r="D4" s="521"/>
      <c r="E4" s="521"/>
      <c r="F4" s="521"/>
      <c r="G4" s="521"/>
      <c r="H4" s="36"/>
      <c r="I4" s="36"/>
      <c r="J4" s="36"/>
      <c r="K4" s="36"/>
      <c r="L4" s="33"/>
      <c r="M4" s="33"/>
      <c r="N4" s="33"/>
      <c r="O4" s="33"/>
      <c r="P4" s="33"/>
    </row>
    <row r="5" spans="2:16" s="2" customFormat="1" ht="15.75">
      <c r="C5" s="33"/>
      <c r="D5" s="33"/>
      <c r="E5" s="97"/>
      <c r="F5" s="97"/>
      <c r="G5" s="33"/>
      <c r="H5" s="33"/>
      <c r="I5" s="33"/>
      <c r="J5" s="33"/>
      <c r="K5" s="33"/>
      <c r="L5" s="33"/>
      <c r="M5" s="33"/>
      <c r="N5" s="33"/>
      <c r="O5" s="33"/>
      <c r="P5" s="33"/>
    </row>
    <row r="6" spans="2:16" s="2" customFormat="1" ht="36.75" customHeight="1"/>
    <row r="8" spans="2:16" ht="15.75">
      <c r="P8" s="59"/>
    </row>
    <row r="9" spans="2:16" ht="15.75">
      <c r="B9" s="560" t="s">
        <v>6</v>
      </c>
      <c r="C9" s="560"/>
      <c r="D9" s="560"/>
      <c r="E9" s="560"/>
      <c r="F9" s="560"/>
      <c r="G9" s="560"/>
      <c r="H9" s="560"/>
      <c r="I9" s="560"/>
      <c r="J9" s="560"/>
      <c r="K9" s="560"/>
      <c r="L9" s="560"/>
      <c r="M9" s="560"/>
      <c r="P9" s="59"/>
    </row>
    <row r="10" spans="2:16" ht="15.75">
      <c r="P10" s="59"/>
    </row>
    <row r="11" spans="2:16" ht="15.75">
      <c r="P11" s="59"/>
    </row>
    <row r="12" spans="2:16" ht="25.5">
      <c r="B12" s="389" t="s">
        <v>37</v>
      </c>
      <c r="D12" s="42" t="s">
        <v>59</v>
      </c>
      <c r="E12" s="44"/>
      <c r="F12" s="44"/>
      <c r="G12" s="307" t="s">
        <v>4</v>
      </c>
      <c r="H12" s="308"/>
      <c r="I12" s="308"/>
      <c r="J12" s="308"/>
      <c r="K12" s="309" t="str">
        <f>IF(ISBLANK('3. Data_Input_Sheet'!M12),"",'3. Data_Input_Sheet'!M12)</f>
        <v>Close of Discovery</v>
      </c>
      <c r="L12" s="308"/>
      <c r="M12" s="308"/>
      <c r="N12" s="308"/>
      <c r="O12" s="309" t="str">
        <f>'3. Data_Input_Sheet'!U12</f>
        <v>Per Board Decision</v>
      </c>
      <c r="P12" s="145"/>
    </row>
    <row r="13" spans="2:16">
      <c r="B13" s="302"/>
      <c r="F13" s="34"/>
      <c r="L13" s="34"/>
      <c r="M13" s="34"/>
      <c r="N13" s="34"/>
    </row>
    <row r="14" spans="2:16">
      <c r="B14" s="302"/>
      <c r="D14" s="23" t="s">
        <v>28</v>
      </c>
      <c r="E14" s="98"/>
      <c r="F14" s="99"/>
      <c r="G14" s="98"/>
      <c r="H14" s="98"/>
      <c r="I14" s="98"/>
      <c r="J14" s="98"/>
      <c r="K14" s="98"/>
      <c r="L14" s="99"/>
      <c r="M14" s="99"/>
      <c r="N14" s="99"/>
      <c r="O14" s="98"/>
      <c r="P14" s="98"/>
    </row>
    <row r="15" spans="2:16">
      <c r="B15" s="302"/>
      <c r="F15" s="34"/>
      <c r="L15" s="34"/>
      <c r="M15" s="34"/>
      <c r="N15" s="34"/>
    </row>
    <row r="16" spans="2:16">
      <c r="B16" s="352">
        <v>1</v>
      </c>
      <c r="D16" s="532" t="s">
        <v>145</v>
      </c>
      <c r="E16" s="532"/>
      <c r="F16" s="34"/>
      <c r="G16" s="250">
        <f>'7. Cost_of_Capital'!P22</f>
        <v>4554.4211055546093</v>
      </c>
      <c r="H16" s="250"/>
      <c r="I16" s="250"/>
      <c r="J16" s="250"/>
      <c r="K16" s="250">
        <f>'7. Cost_of_Capital'!P38</f>
        <v>4061.90839037462</v>
      </c>
      <c r="L16" s="256"/>
      <c r="M16" s="256"/>
      <c r="N16" s="256"/>
      <c r="O16" s="250">
        <f>'7. Cost_of_Capital'!P54</f>
        <v>4061.90839037462</v>
      </c>
      <c r="P16" s="100"/>
    </row>
    <row r="17" spans="2:21">
      <c r="B17" s="352"/>
      <c r="F17" s="34"/>
      <c r="G17" s="257"/>
      <c r="H17" s="257"/>
      <c r="I17" s="257"/>
      <c r="J17" s="257"/>
      <c r="K17" s="257"/>
      <c r="L17" s="256"/>
      <c r="M17" s="256"/>
      <c r="N17" s="256"/>
      <c r="O17" s="257"/>
      <c r="P17" s="53"/>
    </row>
    <row r="18" spans="2:21" ht="24.75" customHeight="1">
      <c r="B18" s="352">
        <v>2</v>
      </c>
      <c r="D18" s="561" t="s">
        <v>29</v>
      </c>
      <c r="E18" s="561"/>
      <c r="F18" s="34"/>
      <c r="G18" s="249">
        <f>'3. Data_Input_Sheet'!E44</f>
        <v>-2796.4609740625165</v>
      </c>
      <c r="H18" s="250"/>
      <c r="I18" s="363"/>
      <c r="J18" s="250"/>
      <c r="K18" s="249">
        <f>'3. Data_Input_Sheet'!M44</f>
        <v>-2385.6248629514048</v>
      </c>
      <c r="L18" s="240"/>
      <c r="M18" s="363"/>
      <c r="N18" s="240"/>
      <c r="O18" s="249">
        <f>IF(ISBLANK('3. Data_Input_Sheet'!U44),G18,'3. Data_Input_Sheet'!U44)</f>
        <v>-2796.4609740625165</v>
      </c>
      <c r="P18" s="100"/>
      <c r="Q18" s="363"/>
    </row>
    <row r="19" spans="2:21">
      <c r="B19" s="352"/>
      <c r="F19" s="34"/>
      <c r="G19" s="257"/>
      <c r="H19" s="257"/>
      <c r="I19" s="257"/>
      <c r="J19" s="257"/>
      <c r="K19" s="257"/>
      <c r="L19" s="256"/>
      <c r="M19" s="256"/>
      <c r="N19" s="256"/>
      <c r="O19" s="257"/>
      <c r="P19" s="53"/>
    </row>
    <row r="20" spans="2:21" ht="13.5" thickBot="1">
      <c r="B20" s="352">
        <v>3</v>
      </c>
      <c r="D20" s="532" t="s">
        <v>30</v>
      </c>
      <c r="E20" s="532"/>
      <c r="F20" s="34"/>
      <c r="G20" s="258">
        <f>G16+G18</f>
        <v>1757.9601314920928</v>
      </c>
      <c r="H20" s="259"/>
      <c r="I20" s="259"/>
      <c r="J20" s="259"/>
      <c r="K20" s="258">
        <f>K16+K18</f>
        <v>1676.2835274232152</v>
      </c>
      <c r="L20" s="256"/>
      <c r="M20" s="256"/>
      <c r="N20" s="256"/>
      <c r="O20" s="258">
        <f>O16+O18</f>
        <v>1265.4474163121035</v>
      </c>
      <c r="P20" s="161"/>
    </row>
    <row r="21" spans="2:21" ht="13.5" thickTop="1">
      <c r="B21" s="352"/>
      <c r="F21" s="34"/>
      <c r="G21" s="257"/>
      <c r="H21" s="257"/>
      <c r="I21" s="257"/>
      <c r="J21" s="257"/>
      <c r="K21" s="257"/>
      <c r="L21" s="256"/>
      <c r="M21" s="256"/>
      <c r="N21" s="256"/>
      <c r="O21" s="257"/>
      <c r="P21" s="53"/>
    </row>
    <row r="22" spans="2:21">
      <c r="B22" s="352"/>
      <c r="D22" s="27" t="s">
        <v>31</v>
      </c>
      <c r="E22" s="103"/>
      <c r="F22" s="104"/>
      <c r="G22" s="260"/>
      <c r="H22" s="260"/>
      <c r="I22" s="260"/>
      <c r="J22" s="260"/>
      <c r="K22" s="260"/>
      <c r="L22" s="261"/>
      <c r="M22" s="261"/>
      <c r="N22" s="261"/>
      <c r="O22" s="260"/>
      <c r="P22" s="105"/>
    </row>
    <row r="23" spans="2:21">
      <c r="B23" s="352"/>
      <c r="C23" s="15"/>
      <c r="D23" s="15"/>
      <c r="E23" s="15"/>
      <c r="F23" s="89"/>
      <c r="G23" s="262"/>
      <c r="H23" s="262"/>
      <c r="I23" s="262"/>
      <c r="J23" s="262"/>
      <c r="K23" s="262"/>
      <c r="L23" s="256"/>
      <c r="M23" s="256"/>
      <c r="N23" s="256"/>
      <c r="O23" s="262"/>
      <c r="P23" s="106"/>
      <c r="Q23" s="15"/>
      <c r="R23" s="15"/>
      <c r="S23" s="15"/>
      <c r="T23" s="15"/>
      <c r="U23" s="15"/>
    </row>
    <row r="24" spans="2:21">
      <c r="B24" s="352">
        <v>4</v>
      </c>
      <c r="C24" s="15"/>
      <c r="D24" s="15" t="s">
        <v>27</v>
      </c>
      <c r="E24" s="15"/>
      <c r="F24" s="89"/>
      <c r="G24" s="250">
        <f>'3. Data_Input_Sheet'!E46</f>
        <v>374.52610151207136</v>
      </c>
      <c r="H24" s="250"/>
      <c r="I24" s="363"/>
      <c r="J24" s="250"/>
      <c r="K24" s="250">
        <f>IF(ISBLANK('3. Data_Input_Sheet'!M46),'6. Taxes_PILs'!G24,'3. Data_Input_Sheet'!M46)</f>
        <v>352.88180143381874</v>
      </c>
      <c r="L24" s="240"/>
      <c r="M24" s="363"/>
      <c r="N24" s="240"/>
      <c r="O24" s="250">
        <f>IF(ISBLANK('3. Data_Input_Sheet'!U46),'6. Taxes_PILs'!K24,'3. Data_Input_Sheet'!U46)</f>
        <v>352.88180143381874</v>
      </c>
      <c r="P24" s="107"/>
      <c r="Q24" s="363"/>
      <c r="R24" s="15"/>
      <c r="S24" s="15"/>
      <c r="T24" s="15"/>
      <c r="U24" s="15"/>
    </row>
    <row r="25" spans="2:21" ht="3" customHeight="1">
      <c r="B25" s="391">
        <v>5</v>
      </c>
      <c r="C25" s="315"/>
      <c r="D25" s="315" t="s">
        <v>43</v>
      </c>
      <c r="E25" s="315"/>
      <c r="F25" s="316"/>
      <c r="G25" s="317">
        <f>'3. Data_Input_Sheet'!E48</f>
        <v>0</v>
      </c>
      <c r="H25" s="318"/>
      <c r="I25" s="319"/>
      <c r="J25" s="318"/>
      <c r="K25" s="317">
        <f>IF(ISBLANK('3. Data_Input_Sheet'!M48),'6. Taxes_PILs'!G25,'3. Data_Input_Sheet'!M48)</f>
        <v>0</v>
      </c>
      <c r="L25" s="320"/>
      <c r="M25" s="321"/>
      <c r="N25" s="320"/>
      <c r="O25" s="317">
        <f>IF(ISBLANK('3. Data_Input_Sheet'!U48),'6. Taxes_PILs'!K25,'3. Data_Input_Sheet'!U48)</f>
        <v>0</v>
      </c>
      <c r="P25" s="322"/>
      <c r="Q25" s="323"/>
    </row>
    <row r="26" spans="2:21">
      <c r="B26" s="352"/>
      <c r="F26" s="34"/>
      <c r="G26" s="539">
        <f>SUM(G24:G25)</f>
        <v>374.52610151207136</v>
      </c>
      <c r="H26" s="49"/>
      <c r="I26" s="49"/>
      <c r="J26" s="49"/>
      <c r="K26" s="539">
        <f>SUM(K24:K25)</f>
        <v>352.88180143381874</v>
      </c>
      <c r="L26" s="108"/>
      <c r="M26" s="108"/>
      <c r="N26" s="163"/>
      <c r="O26" s="539">
        <f>SUM(O24:O25)</f>
        <v>352.88180143381874</v>
      </c>
      <c r="P26" s="49"/>
    </row>
    <row r="27" spans="2:21" ht="13.5" thickBot="1">
      <c r="B27" s="352">
        <v>6</v>
      </c>
      <c r="D27" s="5" t="s">
        <v>32</v>
      </c>
      <c r="F27" s="34"/>
      <c r="G27" s="540"/>
      <c r="H27" s="49"/>
      <c r="I27" s="49"/>
      <c r="J27" s="49"/>
      <c r="K27" s="540"/>
      <c r="L27" s="108"/>
      <c r="M27" s="108"/>
      <c r="N27" s="163"/>
      <c r="O27" s="540"/>
      <c r="P27" s="49"/>
    </row>
    <row r="28" spans="2:21" ht="13.5" thickTop="1">
      <c r="B28" s="352"/>
      <c r="F28" s="34"/>
      <c r="G28" s="265"/>
      <c r="H28" s="265"/>
      <c r="I28" s="265"/>
      <c r="J28" s="265"/>
      <c r="K28" s="265"/>
      <c r="L28" s="256"/>
      <c r="M28" s="256"/>
      <c r="N28" s="242"/>
      <c r="O28" s="265"/>
      <c r="P28" s="109"/>
    </row>
    <row r="29" spans="2:21">
      <c r="B29" s="352">
        <v>7</v>
      </c>
      <c r="D29" s="5" t="s">
        <v>96</v>
      </c>
      <c r="F29" s="34"/>
      <c r="G29" s="255">
        <f>(G24/(1-G41))-G24</f>
        <v>121.59446893524193</v>
      </c>
      <c r="H29" s="254"/>
      <c r="I29" s="254"/>
      <c r="J29" s="254"/>
      <c r="K29" s="255">
        <f>(K24/(1-K41))-K24</f>
        <v>113.96746597704225</v>
      </c>
      <c r="L29" s="263"/>
      <c r="M29" s="263"/>
      <c r="N29" s="264"/>
      <c r="O29" s="255">
        <f>(O24/(1-O41))-O24</f>
        <v>113.96746597704225</v>
      </c>
      <c r="P29" s="49"/>
    </row>
    <row r="30" spans="2:21">
      <c r="B30" s="352"/>
      <c r="F30" s="34"/>
      <c r="G30" s="254"/>
      <c r="H30" s="254"/>
      <c r="I30" s="254"/>
      <c r="J30" s="254"/>
      <c r="K30" s="254"/>
      <c r="L30" s="263"/>
      <c r="M30" s="263"/>
      <c r="N30" s="264"/>
      <c r="O30" s="254"/>
      <c r="P30" s="49"/>
    </row>
    <row r="31" spans="2:21" ht="13.5" thickBot="1">
      <c r="B31" s="352">
        <v>8</v>
      </c>
      <c r="D31" s="5" t="s">
        <v>106</v>
      </c>
      <c r="F31" s="34"/>
      <c r="G31" s="266">
        <f>G24+G29</f>
        <v>496.1205704473133</v>
      </c>
      <c r="H31" s="254"/>
      <c r="I31" s="254"/>
      <c r="J31" s="254"/>
      <c r="K31" s="266">
        <f>K24+K29</f>
        <v>466.84926741086099</v>
      </c>
      <c r="L31" s="263"/>
      <c r="M31" s="263"/>
      <c r="N31" s="264"/>
      <c r="O31" s="266">
        <f>O24+O29</f>
        <v>466.84926741086099</v>
      </c>
      <c r="P31" s="49"/>
    </row>
    <row r="32" spans="2:21" ht="13.5" thickTop="1">
      <c r="B32" s="352"/>
      <c r="F32" s="34"/>
      <c r="G32" s="254"/>
      <c r="H32" s="254"/>
      <c r="I32" s="254"/>
      <c r="J32" s="254"/>
      <c r="K32" s="254"/>
      <c r="L32" s="263"/>
      <c r="M32" s="263"/>
      <c r="N32" s="264"/>
      <c r="O32" s="254"/>
      <c r="P32" s="49"/>
    </row>
    <row r="33" spans="2:17" ht="25.5" customHeight="1" thickBot="1">
      <c r="B33" s="352">
        <v>9</v>
      </c>
      <c r="D33" s="534" t="s">
        <v>107</v>
      </c>
      <c r="E33" s="534"/>
      <c r="F33" s="34"/>
      <c r="G33" s="142">
        <f>G26+G29</f>
        <v>496.1205704473133</v>
      </c>
      <c r="H33" s="49"/>
      <c r="I33" s="49"/>
      <c r="J33" s="49"/>
      <c r="K33" s="142">
        <f>K29+K26</f>
        <v>466.84926741086099</v>
      </c>
      <c r="L33" s="108"/>
      <c r="M33" s="108"/>
      <c r="N33" s="163"/>
      <c r="O33" s="142">
        <f>O29+O26</f>
        <v>466.84926741086099</v>
      </c>
      <c r="P33" s="49"/>
    </row>
    <row r="34" spans="2:17" ht="12.75" customHeight="1" thickTop="1">
      <c r="B34" s="352"/>
      <c r="D34" s="28"/>
      <c r="E34" s="28"/>
      <c r="F34" s="34"/>
      <c r="G34" s="254"/>
      <c r="H34" s="254"/>
      <c r="I34" s="254"/>
      <c r="J34" s="254"/>
      <c r="K34" s="254"/>
      <c r="L34" s="263"/>
      <c r="M34" s="263"/>
      <c r="N34" s="264"/>
      <c r="O34" s="254"/>
      <c r="P34" s="49"/>
    </row>
    <row r="35" spans="2:17" ht="14.25" customHeight="1">
      <c r="B35" s="352">
        <v>10</v>
      </c>
      <c r="D35" s="28" t="s">
        <v>131</v>
      </c>
      <c r="E35" s="28"/>
      <c r="F35" s="34"/>
      <c r="G35" s="254">
        <f>'3. Data_Input_Sheet'!E51</f>
        <v>-56.333333333333336</v>
      </c>
      <c r="H35" s="254"/>
      <c r="I35" s="363"/>
      <c r="J35" s="254"/>
      <c r="K35" s="254">
        <f>IF(ISBLANK('3. Data_Input_Sheet'!M51),G35,'3. Data_Input_Sheet'!M51)</f>
        <v>-56.333333333333336</v>
      </c>
      <c r="L35" s="240"/>
      <c r="M35" s="363"/>
      <c r="N35" s="267"/>
      <c r="O35" s="254">
        <f>IF(ISBLANK('3. Data_Input_Sheet'!U51),K35,'3. Data_Input_Sheet'!U51)</f>
        <v>-56.333333333333336</v>
      </c>
      <c r="P35" s="49"/>
      <c r="Q35" s="363"/>
    </row>
    <row r="36" spans="2:17">
      <c r="B36" s="352"/>
      <c r="F36" s="34"/>
      <c r="L36" s="30"/>
      <c r="M36" s="34"/>
      <c r="N36" s="30"/>
    </row>
    <row r="37" spans="2:17">
      <c r="B37" s="352"/>
      <c r="D37" s="27" t="s">
        <v>33</v>
      </c>
      <c r="E37" s="110"/>
      <c r="F37" s="111"/>
      <c r="G37" s="110"/>
      <c r="H37" s="110"/>
      <c r="I37" s="110"/>
      <c r="J37" s="110"/>
      <c r="L37" s="164"/>
      <c r="M37" s="111"/>
      <c r="N37" s="164"/>
    </row>
    <row r="38" spans="2:17">
      <c r="B38" s="352"/>
      <c r="F38" s="34"/>
      <c r="G38" s="112"/>
      <c r="H38" s="112"/>
      <c r="I38" s="112"/>
      <c r="J38" s="112"/>
      <c r="K38" s="114"/>
      <c r="L38" s="165"/>
      <c r="M38" s="113"/>
      <c r="N38" s="165"/>
      <c r="O38" s="114"/>
      <c r="P38" s="114"/>
    </row>
    <row r="39" spans="2:17">
      <c r="B39" s="352">
        <v>11</v>
      </c>
      <c r="D39" s="5" t="s">
        <v>136</v>
      </c>
      <c r="F39" s="34"/>
      <c r="G39" s="80">
        <f>'3. Data_Input_Sheet'!E49</f>
        <v>0.15000000000000002</v>
      </c>
      <c r="H39" s="80"/>
      <c r="I39" s="363"/>
      <c r="J39" s="80"/>
      <c r="K39" s="115">
        <f>IF(ISBLANK('3. Data_Input_Sheet'!M49),G39,'3. Data_Input_Sheet'!M49)</f>
        <v>0.15000000000000002</v>
      </c>
      <c r="L39" s="180"/>
      <c r="M39" s="363"/>
      <c r="N39" s="180"/>
      <c r="O39" s="115">
        <f>IF(ISBLANK('3. Data_Input_Sheet'!U49),K39,'3. Data_Input_Sheet'!U49)</f>
        <v>0.15000000000000002</v>
      </c>
      <c r="P39" s="115"/>
      <c r="Q39" s="363"/>
    </row>
    <row r="40" spans="2:17">
      <c r="B40" s="352">
        <v>12</v>
      </c>
      <c r="D40" s="5" t="s">
        <v>137</v>
      </c>
      <c r="F40" s="34"/>
      <c r="G40" s="81">
        <f>'3. Data_Input_Sheet'!E50</f>
        <v>9.5090561001350327E-2</v>
      </c>
      <c r="H40" s="80"/>
      <c r="I40" s="363"/>
      <c r="J40" s="80"/>
      <c r="K40" s="93">
        <f>IF(ISBLANK('3. Data_Input_Sheet'!M50),G40,'3. Data_Input_Sheet'!M50)</f>
        <v>9.4120477277610651E-2</v>
      </c>
      <c r="L40" s="180"/>
      <c r="M40" s="363"/>
      <c r="N40" s="180"/>
      <c r="O40" s="93">
        <f>IF(ISBLANK('3. Data_Input_Sheet'!U50),K40,'3. Data_Input_Sheet'!U50)</f>
        <v>9.4120477277610651E-2</v>
      </c>
      <c r="P40" s="92"/>
      <c r="Q40" s="363"/>
    </row>
    <row r="41" spans="2:17" ht="13.5" thickBot="1">
      <c r="B41" s="352">
        <v>13</v>
      </c>
      <c r="D41" s="5" t="s">
        <v>138</v>
      </c>
      <c r="F41" s="34"/>
      <c r="G41" s="116">
        <f>G39+G40</f>
        <v>0.24509056100135035</v>
      </c>
      <c r="H41" s="162"/>
      <c r="I41" s="162"/>
      <c r="J41" s="162"/>
      <c r="K41" s="118">
        <f>K39+K40</f>
        <v>0.24412047727761066</v>
      </c>
      <c r="L41" s="117"/>
      <c r="M41" s="117"/>
      <c r="N41" s="117"/>
      <c r="O41" s="118">
        <f>O39+O40</f>
        <v>0.24412047727761066</v>
      </c>
      <c r="P41" s="91"/>
    </row>
    <row r="42" spans="2:17" ht="13.5" thickTop="1">
      <c r="F42" s="34"/>
      <c r="L42" s="34"/>
      <c r="M42" s="34"/>
      <c r="N42" s="34"/>
    </row>
    <row r="43" spans="2:17">
      <c r="L43" s="34"/>
      <c r="M43" s="34"/>
      <c r="N43" s="34"/>
    </row>
    <row r="44" spans="2:17">
      <c r="B44" s="559" t="s">
        <v>38</v>
      </c>
      <c r="C44" s="559"/>
      <c r="D44" s="559"/>
      <c r="E44" s="559"/>
      <c r="F44" s="559"/>
      <c r="G44" s="559"/>
      <c r="H44" s="559"/>
      <c r="I44" s="559"/>
      <c r="J44" s="559"/>
      <c r="K44" s="559"/>
      <c r="L44" s="559"/>
      <c r="M44" s="559"/>
      <c r="N44" s="559"/>
      <c r="O44" s="559"/>
      <c r="P44" s="157"/>
    </row>
    <row r="45" spans="2:17" ht="12.75" customHeight="1">
      <c r="B45" s="324"/>
      <c r="C45" s="325"/>
      <c r="D45" s="558" t="s">
        <v>148</v>
      </c>
      <c r="E45" s="558"/>
      <c r="F45" s="558"/>
      <c r="G45" s="558"/>
      <c r="H45" s="558"/>
      <c r="I45" s="558"/>
      <c r="J45" s="558"/>
      <c r="K45" s="558"/>
      <c r="L45" s="558"/>
      <c r="M45" s="558"/>
      <c r="N45" s="558"/>
      <c r="O45" s="558"/>
      <c r="P45" s="177"/>
    </row>
    <row r="46" spans="2:17">
      <c r="B46" s="370"/>
      <c r="D46" s="536"/>
      <c r="E46" s="536"/>
      <c r="F46" s="536"/>
      <c r="G46" s="536"/>
      <c r="H46" s="536"/>
      <c r="I46" s="536"/>
      <c r="J46" s="536"/>
      <c r="K46" s="536"/>
      <c r="L46" s="536"/>
      <c r="M46" s="536"/>
      <c r="N46" s="536"/>
      <c r="O46" s="536"/>
      <c r="P46" s="177"/>
    </row>
    <row r="47" spans="2:17">
      <c r="B47" s="370"/>
      <c r="D47" s="369"/>
      <c r="E47" s="369"/>
      <c r="F47" s="369"/>
      <c r="G47" s="369"/>
      <c r="H47" s="369"/>
      <c r="I47" s="369"/>
      <c r="J47" s="369"/>
      <c r="K47" s="369"/>
      <c r="L47" s="369"/>
      <c r="M47" s="369"/>
      <c r="N47" s="369"/>
      <c r="O47" s="369"/>
      <c r="P47" s="177"/>
    </row>
    <row r="48" spans="2:17">
      <c r="B48" s="370"/>
      <c r="D48" s="369"/>
      <c r="E48" s="369"/>
      <c r="F48" s="369"/>
      <c r="G48" s="369"/>
      <c r="H48" s="369"/>
      <c r="I48" s="369"/>
      <c r="J48" s="369"/>
      <c r="K48" s="369"/>
      <c r="L48" s="369"/>
      <c r="M48" s="369"/>
      <c r="N48" s="369"/>
      <c r="O48" s="369"/>
      <c r="P48" s="177"/>
    </row>
    <row r="49" spans="2:16">
      <c r="B49" s="370"/>
      <c r="D49" s="369"/>
      <c r="E49" s="369"/>
      <c r="F49" s="369"/>
      <c r="G49" s="369"/>
      <c r="H49" s="369"/>
      <c r="I49" s="369"/>
      <c r="J49" s="369"/>
      <c r="K49" s="369"/>
      <c r="L49" s="369"/>
      <c r="M49" s="369"/>
      <c r="N49" s="369"/>
      <c r="O49" s="369"/>
      <c r="P49" s="177"/>
    </row>
    <row r="50" spans="2:16">
      <c r="B50" s="370"/>
      <c r="D50" s="536"/>
      <c r="E50" s="536"/>
      <c r="F50" s="536"/>
      <c r="G50" s="536"/>
      <c r="H50" s="536"/>
      <c r="I50" s="536"/>
      <c r="J50" s="536"/>
      <c r="K50" s="536"/>
      <c r="L50" s="536"/>
      <c r="M50" s="536"/>
      <c r="N50" s="536"/>
      <c r="O50" s="536"/>
      <c r="P50" s="177"/>
    </row>
    <row r="51" spans="2:16">
      <c r="B51" s="370"/>
      <c r="D51" s="536"/>
      <c r="E51" s="536"/>
      <c r="F51" s="536"/>
      <c r="G51" s="536"/>
      <c r="H51" s="536"/>
      <c r="I51" s="536"/>
      <c r="J51" s="536"/>
      <c r="K51" s="536"/>
      <c r="L51" s="536"/>
      <c r="M51" s="536"/>
      <c r="N51" s="536"/>
      <c r="O51" s="536"/>
      <c r="P51" s="177"/>
    </row>
    <row r="52" spans="2:16">
      <c r="B52" s="370"/>
      <c r="D52" s="536"/>
      <c r="E52" s="536"/>
      <c r="F52" s="536"/>
      <c r="G52" s="536"/>
      <c r="H52" s="536"/>
      <c r="I52" s="536"/>
      <c r="J52" s="536"/>
      <c r="K52" s="536"/>
      <c r="L52" s="536"/>
      <c r="M52" s="536"/>
      <c r="N52" s="536"/>
      <c r="O52" s="536"/>
      <c r="P52" s="177"/>
    </row>
    <row r="53" spans="2:16">
      <c r="B53" s="370"/>
      <c r="D53" s="536"/>
      <c r="E53" s="536"/>
      <c r="F53" s="536"/>
      <c r="G53" s="536"/>
      <c r="H53" s="536"/>
      <c r="I53" s="536"/>
      <c r="J53" s="536"/>
      <c r="K53" s="536"/>
      <c r="L53" s="536"/>
      <c r="M53" s="536"/>
      <c r="N53" s="536"/>
      <c r="O53" s="536"/>
      <c r="P53" s="177"/>
    </row>
  </sheetData>
  <sheetProtection password="82A3" sheet="1" objects="1" scenarios="1" formatColumns="0" formatRows="0"/>
  <mergeCells count="19">
    <mergeCell ref="D1:M1"/>
    <mergeCell ref="C3:G3"/>
    <mergeCell ref="C4:G4"/>
    <mergeCell ref="C2:O2"/>
    <mergeCell ref="B44:O44"/>
    <mergeCell ref="B9:M9"/>
    <mergeCell ref="G26:G27"/>
    <mergeCell ref="O26:O27"/>
    <mergeCell ref="D16:E16"/>
    <mergeCell ref="D18:E18"/>
    <mergeCell ref="D20:E20"/>
    <mergeCell ref="D33:E33"/>
    <mergeCell ref="K26:K27"/>
    <mergeCell ref="D45:O45"/>
    <mergeCell ref="D52:O52"/>
    <mergeCell ref="D53:O53"/>
    <mergeCell ref="D46:O46"/>
    <mergeCell ref="D50:O50"/>
    <mergeCell ref="D51:O51"/>
  </mergeCells>
  <phoneticPr fontId="2" type="noConversion"/>
  <conditionalFormatting sqref="K12">
    <cfRule type="cellIs" dxfId="4" priority="1" stopIfTrue="1" operator="equal">
      <formula>""</formula>
    </cfRule>
  </conditionalFormatting>
  <pageMargins left="0.75" right="0.75" top="0.47" bottom="1" header="0.31" footer="0.5"/>
  <pageSetup scale="70" orientation="portrait" r:id="rId1"/>
  <headerFooter alignWithMargins="0">
    <oddFooter>&amp;C5</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R68"/>
  <sheetViews>
    <sheetView showGridLines="0" topLeftCell="A10" zoomScaleNormal="100" zoomScaleSheetLayoutView="100" workbookViewId="0">
      <selection activeCell="U28" sqref="U28"/>
    </sheetView>
  </sheetViews>
  <sheetFormatPr defaultColWidth="9.140625" defaultRowHeight="12.75"/>
  <cols>
    <col min="1" max="1" width="2.7109375" style="5" customWidth="1"/>
    <col min="2" max="2" width="5" style="5" customWidth="1"/>
    <col min="3" max="3" width="6.7109375" style="5" customWidth="1"/>
    <col min="4" max="4" width="17.28515625" style="5" customWidth="1"/>
    <col min="5" max="5" width="3.7109375" style="5" customWidth="1"/>
    <col min="6" max="6" width="9.28515625" style="5" customWidth="1"/>
    <col min="7" max="7" width="2.7109375" style="5" customWidth="1"/>
    <col min="8" max="8" width="3.7109375" style="5" customWidth="1"/>
    <col min="9" max="9" width="2.7109375" style="5" customWidth="1"/>
    <col min="10" max="10" width="18.7109375" style="5" customWidth="1"/>
    <col min="11" max="11" width="2.7109375" style="5" customWidth="1"/>
    <col min="12" max="12" width="9" style="5" customWidth="1"/>
    <col min="13" max="13" width="2.7109375" style="5" customWidth="1"/>
    <col min="14" max="14" width="3.85546875" style="5" customWidth="1"/>
    <col min="15" max="15" width="2.7109375" style="5" customWidth="1"/>
    <col min="16" max="16" width="16.7109375" style="5" customWidth="1"/>
    <col min="17" max="17" width="2.7109375" style="5" customWidth="1"/>
    <col min="18" max="18" width="2.85546875" style="5" customWidth="1"/>
    <col min="19" max="19" width="3" style="5" customWidth="1"/>
    <col min="20" max="20" width="4.140625" style="5" customWidth="1"/>
    <col min="21" max="16384" width="9.140625" style="5"/>
  </cols>
  <sheetData>
    <row r="1" spans="1:18" s="2" customFormat="1" ht="36.75" customHeight="1">
      <c r="C1" s="566"/>
      <c r="D1" s="566"/>
      <c r="E1" s="566"/>
      <c r="F1" s="566"/>
      <c r="G1" s="566"/>
      <c r="H1" s="566"/>
      <c r="I1" s="566"/>
      <c r="J1" s="566"/>
      <c r="K1" s="566"/>
      <c r="L1" s="566"/>
      <c r="M1" s="566"/>
      <c r="N1" s="566"/>
      <c r="O1" s="154"/>
      <c r="P1" s="147"/>
    </row>
    <row r="2" spans="1:18" s="2" customFormat="1" ht="36.75" customHeight="1">
      <c r="C2" s="567"/>
      <c r="D2" s="567"/>
      <c r="E2" s="567"/>
      <c r="F2" s="567"/>
      <c r="G2" s="567"/>
      <c r="H2" s="567"/>
      <c r="I2" s="567"/>
      <c r="J2" s="567"/>
      <c r="K2" s="567"/>
      <c r="L2" s="567"/>
      <c r="M2" s="567"/>
      <c r="N2" s="567"/>
      <c r="O2" s="567"/>
      <c r="P2" s="567"/>
      <c r="Q2" s="567"/>
      <c r="R2" s="567"/>
    </row>
    <row r="3" spans="1:18" s="2" customFormat="1" ht="36.75" customHeight="1">
      <c r="C3" s="567"/>
      <c r="D3" s="567"/>
      <c r="E3" s="567"/>
      <c r="F3" s="567"/>
      <c r="G3" s="567"/>
      <c r="H3" s="567"/>
      <c r="I3" s="567"/>
      <c r="J3" s="567"/>
      <c r="K3" s="567"/>
      <c r="L3" s="567"/>
      <c r="M3" s="567"/>
      <c r="N3" s="567"/>
      <c r="O3" s="155"/>
    </row>
    <row r="4" spans="1:18" s="2" customFormat="1" ht="36.75" customHeight="1">
      <c r="C4" s="567"/>
      <c r="D4" s="567"/>
      <c r="E4" s="567"/>
      <c r="F4" s="567"/>
      <c r="G4" s="567"/>
      <c r="H4" s="567"/>
      <c r="I4" s="567"/>
      <c r="J4" s="567"/>
      <c r="K4" s="38"/>
      <c r="L4" s="38"/>
      <c r="M4" s="38"/>
      <c r="N4" s="38"/>
      <c r="O4" s="38"/>
    </row>
    <row r="5" spans="1:18" s="2" customFormat="1" ht="36.75" customHeight="1">
      <c r="B5" s="568" t="s">
        <v>50</v>
      </c>
      <c r="C5" s="568"/>
      <c r="D5" s="568"/>
      <c r="E5" s="568"/>
      <c r="F5" s="568"/>
      <c r="G5" s="568"/>
      <c r="H5" s="568"/>
      <c r="I5" s="568"/>
      <c r="J5" s="568"/>
      <c r="K5" s="568"/>
      <c r="L5" s="568"/>
      <c r="M5" s="568"/>
      <c r="N5" s="568"/>
    </row>
    <row r="6" spans="1:18" s="2" customFormat="1" ht="2.25" customHeight="1"/>
    <row r="7" spans="1:18" ht="2.25" customHeight="1"/>
    <row r="8" spans="1:18" ht="2.25" customHeight="1">
      <c r="Q8" s="58"/>
    </row>
    <row r="9" spans="1:18" ht="2.25" customHeight="1"/>
    <row r="10" spans="1:18">
      <c r="C10" s="34"/>
      <c r="D10" s="34"/>
      <c r="E10" s="34"/>
      <c r="F10" s="34"/>
      <c r="G10" s="34"/>
      <c r="H10" s="34"/>
      <c r="I10" s="34"/>
      <c r="J10" s="34"/>
      <c r="K10" s="34"/>
      <c r="L10" s="34"/>
      <c r="M10" s="34"/>
      <c r="N10" s="34"/>
      <c r="O10" s="34"/>
      <c r="P10" s="34"/>
      <c r="Q10" s="34"/>
    </row>
    <row r="11" spans="1:18" ht="25.5">
      <c r="A11" s="4"/>
      <c r="B11" s="41" t="s">
        <v>37</v>
      </c>
      <c r="C11" s="34"/>
      <c r="D11" s="42" t="s">
        <v>36</v>
      </c>
      <c r="E11" s="34"/>
      <c r="F11" s="569" t="s">
        <v>46</v>
      </c>
      <c r="G11" s="569"/>
      <c r="H11" s="569"/>
      <c r="I11" s="569"/>
      <c r="J11" s="569"/>
      <c r="K11" s="75"/>
      <c r="L11" s="42" t="s">
        <v>21</v>
      </c>
      <c r="M11" s="44"/>
      <c r="N11" s="34"/>
      <c r="O11" s="34"/>
      <c r="P11" s="42" t="s">
        <v>22</v>
      </c>
      <c r="Q11" s="34"/>
    </row>
    <row r="12" spans="1:18">
      <c r="A12" s="4"/>
      <c r="B12" s="4"/>
      <c r="C12" s="34"/>
      <c r="D12" s="34"/>
      <c r="E12" s="34"/>
      <c r="F12" s="34"/>
      <c r="G12" s="34"/>
      <c r="H12" s="34"/>
      <c r="I12" s="34"/>
      <c r="J12" s="76"/>
      <c r="K12" s="76"/>
      <c r="L12" s="34"/>
      <c r="M12" s="34"/>
      <c r="N12" s="34"/>
      <c r="O12" s="34"/>
      <c r="P12" s="34"/>
      <c r="Q12" s="34"/>
    </row>
    <row r="13" spans="1:18">
      <c r="A13" s="4"/>
      <c r="B13" s="66"/>
      <c r="C13" s="34"/>
      <c r="D13" s="34"/>
      <c r="E13" s="34"/>
      <c r="F13" s="564" t="s">
        <v>155</v>
      </c>
      <c r="G13" s="564"/>
      <c r="H13" s="564"/>
      <c r="I13" s="564"/>
      <c r="J13" s="564"/>
      <c r="K13" s="76"/>
      <c r="L13" s="34"/>
      <c r="M13" s="34"/>
      <c r="N13" s="34"/>
      <c r="O13" s="34"/>
      <c r="P13" s="34"/>
      <c r="Q13" s="34"/>
    </row>
    <row r="14" spans="1:18">
      <c r="A14" s="4"/>
      <c r="B14" s="66"/>
      <c r="C14" s="77"/>
      <c r="D14" s="562"/>
      <c r="E14" s="562"/>
      <c r="F14" s="562"/>
      <c r="G14" s="562"/>
      <c r="H14" s="562"/>
      <c r="I14" s="562"/>
      <c r="J14" s="562"/>
      <c r="K14" s="562"/>
      <c r="L14" s="562"/>
      <c r="M14" s="562"/>
      <c r="N14" s="562"/>
      <c r="O14" s="562"/>
      <c r="P14" s="562"/>
      <c r="Q14" s="34"/>
    </row>
    <row r="15" spans="1:18">
      <c r="A15" s="4"/>
      <c r="B15" s="66"/>
      <c r="C15" s="34"/>
      <c r="D15" s="34"/>
      <c r="E15" s="34"/>
      <c r="F15" s="170" t="s">
        <v>20</v>
      </c>
      <c r="G15" s="170"/>
      <c r="H15" s="170"/>
      <c r="I15" s="170"/>
      <c r="J15" s="170" t="s">
        <v>8</v>
      </c>
      <c r="K15" s="76"/>
      <c r="L15" s="170" t="s">
        <v>20</v>
      </c>
      <c r="M15" s="170"/>
      <c r="N15" s="76"/>
      <c r="O15" s="76"/>
      <c r="P15" s="76" t="s">
        <v>8</v>
      </c>
      <c r="Q15" s="34"/>
    </row>
    <row r="16" spans="1:18">
      <c r="A16" s="4"/>
      <c r="B16" s="66"/>
      <c r="C16" s="34"/>
      <c r="D16" s="79" t="s">
        <v>11</v>
      </c>
      <c r="E16" s="34"/>
      <c r="F16" s="34"/>
      <c r="G16" s="34"/>
      <c r="H16" s="34"/>
      <c r="I16" s="34"/>
      <c r="J16" s="34"/>
      <c r="K16" s="34"/>
      <c r="L16" s="34"/>
      <c r="M16" s="34"/>
      <c r="N16" s="34"/>
      <c r="O16" s="34"/>
      <c r="P16" s="34"/>
      <c r="Q16" s="34"/>
    </row>
    <row r="17" spans="1:18">
      <c r="A17" s="4"/>
      <c r="B17" s="66">
        <v>1</v>
      </c>
      <c r="C17" s="34"/>
      <c r="D17" s="78" t="s">
        <v>12</v>
      </c>
      <c r="E17" s="34"/>
      <c r="F17" s="80">
        <f>'3. Data_Input_Sheet'!E55</f>
        <v>0.56000000000000005</v>
      </c>
      <c r="G17" s="80"/>
      <c r="H17" s="367"/>
      <c r="I17" s="186"/>
      <c r="J17" s="47">
        <f>$J$26*F17</f>
        <v>69381.823153171441</v>
      </c>
      <c r="K17" s="34"/>
      <c r="L17" s="80">
        <f>'3. Data_Input_Sheet'!E62</f>
        <v>4.0257509989259838E-2</v>
      </c>
      <c r="M17" s="80"/>
      <c r="N17" s="367"/>
      <c r="O17" s="186"/>
      <c r="P17" s="47">
        <f>L17*J17</f>
        <v>2793.1394386618585</v>
      </c>
      <c r="Q17" s="34"/>
    </row>
    <row r="18" spans="1:18">
      <c r="A18" s="4"/>
      <c r="B18" s="66">
        <v>2</v>
      </c>
      <c r="C18" s="34"/>
      <c r="D18" s="78" t="s">
        <v>13</v>
      </c>
      <c r="E18" s="34"/>
      <c r="F18" s="81">
        <f>'3. Data_Input_Sheet'!E56</f>
        <v>0.04</v>
      </c>
      <c r="G18" s="80"/>
      <c r="H18" s="367"/>
      <c r="I18" s="186"/>
      <c r="J18" s="54">
        <f>$J$26*F18</f>
        <v>4955.8445109408167</v>
      </c>
      <c r="K18" s="34"/>
      <c r="L18" s="81">
        <f>'3. Data_Input_Sheet'!E63</f>
        <v>1.6500000000000001E-2</v>
      </c>
      <c r="M18" s="80"/>
      <c r="N18" s="367"/>
      <c r="O18" s="186"/>
      <c r="P18" s="54">
        <f>L18*J18</f>
        <v>81.771434430523485</v>
      </c>
      <c r="Q18" s="34"/>
    </row>
    <row r="19" spans="1:18" ht="13.5" thickBot="1">
      <c r="A19" s="4"/>
      <c r="B19" s="66">
        <v>3</v>
      </c>
      <c r="C19" s="34"/>
      <c r="D19" s="82" t="s">
        <v>14</v>
      </c>
      <c r="E19" s="34"/>
      <c r="F19" s="83">
        <f>SUM(F17:F18)</f>
        <v>0.60000000000000009</v>
      </c>
      <c r="G19" s="83"/>
      <c r="H19" s="84"/>
      <c r="I19" s="173"/>
      <c r="J19" s="85">
        <f>SUM(J17:J18)</f>
        <v>74337.667664112261</v>
      </c>
      <c r="K19" s="34"/>
      <c r="L19" s="83">
        <f>IF(F19=0,0,SUMPRODUCT(F17:F18,L17:L18)/F19)</f>
        <v>3.8673675989975849E-2</v>
      </c>
      <c r="M19" s="88"/>
      <c r="N19" s="34"/>
      <c r="O19" s="30"/>
      <c r="P19" s="85">
        <f>SUM(P17:P18)</f>
        <v>2874.9108730923822</v>
      </c>
      <c r="Q19" s="34"/>
    </row>
    <row r="20" spans="1:18" ht="13.5" thickTop="1">
      <c r="A20" s="4"/>
      <c r="B20" s="66"/>
      <c r="C20" s="34"/>
      <c r="D20" s="34"/>
      <c r="E20" s="34"/>
      <c r="F20" s="86"/>
      <c r="G20" s="86"/>
      <c r="H20" s="86"/>
      <c r="I20" s="172"/>
      <c r="J20" s="87"/>
      <c r="K20" s="34"/>
      <c r="L20" s="88"/>
      <c r="M20" s="88"/>
      <c r="N20" s="34"/>
      <c r="O20" s="30"/>
      <c r="P20" s="87"/>
      <c r="Q20" s="34"/>
    </row>
    <row r="21" spans="1:18">
      <c r="A21" s="4"/>
      <c r="B21" s="66"/>
      <c r="C21" s="34"/>
      <c r="D21" s="79" t="s">
        <v>15</v>
      </c>
      <c r="E21" s="34"/>
      <c r="F21" s="86"/>
      <c r="G21" s="86"/>
      <c r="H21" s="86"/>
      <c r="I21" s="172"/>
      <c r="J21" s="87"/>
      <c r="K21" s="34"/>
      <c r="L21" s="88"/>
      <c r="M21" s="88"/>
      <c r="N21" s="34"/>
      <c r="O21" s="30"/>
      <c r="P21" s="87"/>
      <c r="Q21" s="34"/>
    </row>
    <row r="22" spans="1:18">
      <c r="A22" s="4"/>
      <c r="B22" s="70">
        <v>4</v>
      </c>
      <c r="C22" s="89"/>
      <c r="D22" s="90" t="s">
        <v>16</v>
      </c>
      <c r="E22" s="89"/>
      <c r="F22" s="91">
        <f>'3. Data_Input_Sheet'!E57</f>
        <v>0.39999999999999991</v>
      </c>
      <c r="G22" s="91"/>
      <c r="H22" s="367"/>
      <c r="I22" s="186"/>
      <c r="J22" s="48">
        <f>$J$26*F22</f>
        <v>49558.445109408152</v>
      </c>
      <c r="K22" s="89"/>
      <c r="L22" s="92">
        <f>'3. Data_Input_Sheet'!E64</f>
        <v>9.1899999999999996E-2</v>
      </c>
      <c r="M22" s="92"/>
      <c r="N22" s="367"/>
      <c r="O22" s="186"/>
      <c r="P22" s="48">
        <f>L22*J22</f>
        <v>4554.4211055546093</v>
      </c>
      <c r="Q22" s="89"/>
      <c r="R22" s="15"/>
    </row>
    <row r="23" spans="1:18">
      <c r="A23" s="4"/>
      <c r="B23" s="70">
        <v>5</v>
      </c>
      <c r="C23" s="89"/>
      <c r="D23" s="90" t="s">
        <v>17</v>
      </c>
      <c r="E23" s="89"/>
      <c r="F23" s="93">
        <f>'3. Data_Input_Sheet'!E58</f>
        <v>0</v>
      </c>
      <c r="G23" s="92"/>
      <c r="H23" s="367"/>
      <c r="I23" s="186"/>
      <c r="J23" s="55">
        <f>$J$26*F23</f>
        <v>0</v>
      </c>
      <c r="K23" s="89"/>
      <c r="L23" s="93">
        <f>'3. Data_Input_Sheet'!E65</f>
        <v>0</v>
      </c>
      <c r="M23" s="92"/>
      <c r="N23" s="367"/>
      <c r="O23" s="186"/>
      <c r="P23" s="55">
        <f>L23*J23</f>
        <v>0</v>
      </c>
      <c r="Q23" s="89"/>
      <c r="R23" s="15"/>
    </row>
    <row r="24" spans="1:18" ht="13.5" thickBot="1">
      <c r="A24" s="4"/>
      <c r="B24" s="66">
        <v>6</v>
      </c>
      <c r="C24" s="34"/>
      <c r="D24" s="82" t="s">
        <v>18</v>
      </c>
      <c r="E24" s="34"/>
      <c r="F24" s="83">
        <f>SUM(F22:F23)</f>
        <v>0.39999999999999991</v>
      </c>
      <c r="G24" s="83"/>
      <c r="H24" s="84"/>
      <c r="I24" s="84"/>
      <c r="J24" s="85">
        <f>SUM(J22:J23)</f>
        <v>49558.445109408152</v>
      </c>
      <c r="K24" s="34"/>
      <c r="L24" s="83">
        <f>IF(F24=0,0,SUMPRODUCT(F22:F23,L22:L23)/F24)</f>
        <v>9.1899999999999982E-2</v>
      </c>
      <c r="M24" s="88"/>
      <c r="N24" s="34"/>
      <c r="O24" s="34"/>
      <c r="P24" s="85">
        <f>SUM(P22:P23)</f>
        <v>4554.4211055546093</v>
      </c>
      <c r="Q24" s="34"/>
    </row>
    <row r="25" spans="1:18" ht="13.5" thickTop="1">
      <c r="A25" s="4"/>
      <c r="B25" s="66"/>
      <c r="C25" s="34"/>
      <c r="D25" s="34"/>
      <c r="E25" s="34"/>
      <c r="F25" s="34"/>
      <c r="G25" s="34"/>
      <c r="H25" s="34"/>
      <c r="I25" s="34"/>
      <c r="J25" s="87"/>
      <c r="K25" s="34"/>
      <c r="L25" s="88"/>
      <c r="M25" s="88"/>
      <c r="N25" s="34"/>
      <c r="O25" s="34"/>
      <c r="P25" s="87"/>
      <c r="Q25" s="34"/>
    </row>
    <row r="26" spans="1:18" ht="13.5" thickBot="1">
      <c r="A26" s="4"/>
      <c r="B26" s="66">
        <v>7</v>
      </c>
      <c r="C26" s="34"/>
      <c r="D26" s="79" t="s">
        <v>19</v>
      </c>
      <c r="E26" s="34"/>
      <c r="F26" s="178">
        <f>SUM(F19,F24)</f>
        <v>1</v>
      </c>
      <c r="G26" s="94"/>
      <c r="H26" s="94"/>
      <c r="I26" s="94"/>
      <c r="J26" s="95">
        <f>'4. Rate_Base'!G18</f>
        <v>123896.11277352041</v>
      </c>
      <c r="K26" s="34"/>
      <c r="L26" s="96">
        <f>(L19*F19)+(L24*F24)</f>
        <v>5.9964205593985499E-2</v>
      </c>
      <c r="M26" s="88"/>
      <c r="N26" s="34"/>
      <c r="O26" s="34"/>
      <c r="P26" s="95">
        <f>P19+P24</f>
        <v>7429.331978646991</v>
      </c>
      <c r="Q26" s="34"/>
    </row>
    <row r="27" spans="1:18" ht="13.5" thickTop="1">
      <c r="A27" s="4"/>
      <c r="B27" s="66"/>
      <c r="C27" s="34"/>
      <c r="D27" s="34"/>
      <c r="E27" s="34"/>
      <c r="F27" s="34"/>
      <c r="G27" s="34"/>
      <c r="H27" s="34"/>
      <c r="I27" s="34"/>
      <c r="J27" s="34"/>
      <c r="K27" s="34"/>
      <c r="L27" s="34"/>
      <c r="M27" s="34"/>
      <c r="N27" s="34"/>
      <c r="O27" s="34"/>
      <c r="P27" s="34"/>
      <c r="Q27" s="34"/>
    </row>
    <row r="28" spans="1:18">
      <c r="A28" s="4"/>
      <c r="B28" s="4"/>
      <c r="C28" s="34"/>
      <c r="D28" s="34"/>
      <c r="E28" s="34"/>
      <c r="F28" s="34"/>
      <c r="G28" s="34"/>
      <c r="K28" s="34"/>
      <c r="L28" s="34"/>
      <c r="M28" s="34"/>
      <c r="N28" s="34"/>
      <c r="O28" s="34"/>
      <c r="P28" s="34"/>
      <c r="Q28" s="34"/>
    </row>
    <row r="29" spans="1:18">
      <c r="A29" s="4"/>
      <c r="B29" s="66"/>
      <c r="C29" s="34"/>
      <c r="D29" s="34"/>
      <c r="E29" s="34"/>
      <c r="F29" s="564" t="str">
        <f>'1. Info'!AC1</f>
        <v>Close of Discovery</v>
      </c>
      <c r="G29" s="564"/>
      <c r="H29" s="564"/>
      <c r="I29" s="564"/>
      <c r="J29" s="564"/>
      <c r="K29" s="34"/>
      <c r="L29" s="34"/>
      <c r="M29" s="34"/>
      <c r="N29" s="34"/>
      <c r="O29" s="34"/>
      <c r="P29" s="34"/>
      <c r="Q29" s="34"/>
    </row>
    <row r="30" spans="1:18">
      <c r="A30" s="4"/>
      <c r="B30" s="66"/>
      <c r="C30" s="77"/>
      <c r="D30" s="563"/>
      <c r="E30" s="563"/>
      <c r="F30" s="563"/>
      <c r="G30" s="563"/>
      <c r="H30" s="563"/>
      <c r="I30" s="563"/>
      <c r="J30" s="563"/>
      <c r="K30" s="563"/>
      <c r="L30" s="563"/>
      <c r="M30" s="563"/>
      <c r="N30" s="563"/>
      <c r="O30" s="563"/>
      <c r="P30" s="563"/>
      <c r="Q30" s="34"/>
    </row>
    <row r="31" spans="1:18">
      <c r="A31" s="4"/>
      <c r="B31" s="66"/>
      <c r="C31" s="34"/>
      <c r="D31" s="34"/>
      <c r="E31" s="34"/>
      <c r="F31" s="170" t="s">
        <v>20</v>
      </c>
      <c r="G31" s="170"/>
      <c r="H31" s="170"/>
      <c r="I31" s="170"/>
      <c r="J31" s="170" t="s">
        <v>8</v>
      </c>
      <c r="K31" s="76"/>
      <c r="L31" s="170" t="s">
        <v>20</v>
      </c>
      <c r="M31" s="170"/>
      <c r="N31" s="76"/>
      <c r="O31" s="76"/>
      <c r="P31" s="76" t="s">
        <v>8</v>
      </c>
      <c r="Q31" s="34"/>
    </row>
    <row r="32" spans="1:18">
      <c r="A32" s="4"/>
      <c r="B32" s="66"/>
      <c r="C32" s="34"/>
      <c r="D32" s="79" t="s">
        <v>11</v>
      </c>
      <c r="E32" s="34"/>
      <c r="F32" s="34"/>
      <c r="G32" s="34"/>
      <c r="H32" s="34"/>
      <c r="I32" s="34"/>
      <c r="J32" s="34"/>
      <c r="K32" s="34"/>
      <c r="L32" s="34"/>
      <c r="M32" s="34"/>
      <c r="N32" s="34"/>
      <c r="O32" s="34"/>
      <c r="P32" s="34"/>
      <c r="Q32" s="34"/>
    </row>
    <row r="33" spans="1:17">
      <c r="A33" s="4"/>
      <c r="B33" s="66">
        <v>1</v>
      </c>
      <c r="C33" s="34"/>
      <c r="D33" s="78" t="s">
        <v>12</v>
      </c>
      <c r="E33" s="34"/>
      <c r="F33" s="80">
        <f>'3. Data_Input_Sheet'!M55</f>
        <v>0.56000000000000005</v>
      </c>
      <c r="G33" s="80"/>
      <c r="H33" s="367"/>
      <c r="I33" s="186"/>
      <c r="J33" s="47">
        <f>$J$42*F33</f>
        <v>64768.470917135193</v>
      </c>
      <c r="K33" s="34"/>
      <c r="L33" s="80">
        <f>'3. Data_Input_Sheet'!M62</f>
        <v>3.4764162645532698E-2</v>
      </c>
      <c r="M33" s="80"/>
      <c r="N33" s="367"/>
      <c r="O33" s="186"/>
      <c r="P33" s="47">
        <f>L33*J33</f>
        <v>2251.6216572657422</v>
      </c>
      <c r="Q33" s="34"/>
    </row>
    <row r="34" spans="1:17">
      <c r="A34" s="4"/>
      <c r="B34" s="66">
        <v>2</v>
      </c>
      <c r="C34" s="34"/>
      <c r="D34" s="78" t="s">
        <v>13</v>
      </c>
      <c r="E34" s="34"/>
      <c r="F34" s="81">
        <f>'3. Data_Input_Sheet'!M56</f>
        <v>0.04</v>
      </c>
      <c r="G34" s="80"/>
      <c r="H34" s="367"/>
      <c r="I34" s="186"/>
      <c r="J34" s="54">
        <f>$J$42*F34</f>
        <v>4626.3193512239422</v>
      </c>
      <c r="K34" s="34"/>
      <c r="L34" s="81">
        <f>'3. Data_Input_Sheet'!M63</f>
        <v>1.7600000000000001E-2</v>
      </c>
      <c r="M34" s="80"/>
      <c r="N34" s="367"/>
      <c r="O34" s="186"/>
      <c r="P34" s="54">
        <f>L34*J34</f>
        <v>81.423220581541386</v>
      </c>
      <c r="Q34" s="34"/>
    </row>
    <row r="35" spans="1:17" ht="13.5" thickBot="1">
      <c r="A35" s="4"/>
      <c r="B35" s="66">
        <v>3</v>
      </c>
      <c r="C35" s="34"/>
      <c r="D35" s="82" t="s">
        <v>14</v>
      </c>
      <c r="E35" s="34"/>
      <c r="F35" s="83">
        <f>SUM(F33:F34)</f>
        <v>0.60000000000000009</v>
      </c>
      <c r="G35" s="88"/>
      <c r="H35" s="86"/>
      <c r="I35" s="172"/>
      <c r="J35" s="85">
        <f>SUM(J33:J34)</f>
        <v>69394.790268359138</v>
      </c>
      <c r="K35" s="34"/>
      <c r="L35" s="83">
        <f>IF(F35=0,0,SUMPRODUCT(F33:F34,L33:L34)/F35)</f>
        <v>3.3619885135830516E-2</v>
      </c>
      <c r="M35" s="88"/>
      <c r="N35" s="34"/>
      <c r="O35" s="30"/>
      <c r="P35" s="85">
        <f>SUM(P33:P34)</f>
        <v>2333.0448778472837</v>
      </c>
      <c r="Q35" s="34"/>
    </row>
    <row r="36" spans="1:17" ht="13.5" thickTop="1">
      <c r="A36" s="4"/>
      <c r="B36" s="66"/>
      <c r="C36" s="34"/>
      <c r="D36" s="34"/>
      <c r="E36" s="34"/>
      <c r="F36" s="86"/>
      <c r="G36" s="86"/>
      <c r="H36" s="86"/>
      <c r="I36" s="172"/>
      <c r="J36" s="87"/>
      <c r="K36" s="34"/>
      <c r="L36" s="88"/>
      <c r="M36" s="88"/>
      <c r="N36" s="34"/>
      <c r="O36" s="30"/>
      <c r="P36" s="87"/>
      <c r="Q36" s="34"/>
    </row>
    <row r="37" spans="1:17">
      <c r="A37" s="4"/>
      <c r="B37" s="66"/>
      <c r="C37" s="34"/>
      <c r="D37" s="79" t="s">
        <v>15</v>
      </c>
      <c r="E37" s="34"/>
      <c r="F37" s="86"/>
      <c r="G37" s="86"/>
      <c r="H37" s="86"/>
      <c r="I37" s="172"/>
      <c r="J37" s="87"/>
      <c r="K37" s="34"/>
      <c r="L37" s="88"/>
      <c r="M37" s="88"/>
      <c r="N37" s="34"/>
      <c r="O37" s="30"/>
      <c r="P37" s="87"/>
      <c r="Q37" s="34"/>
    </row>
    <row r="38" spans="1:17">
      <c r="A38" s="4"/>
      <c r="B38" s="70">
        <v>4</v>
      </c>
      <c r="C38" s="89"/>
      <c r="D38" s="90" t="s">
        <v>16</v>
      </c>
      <c r="E38" s="89"/>
      <c r="F38" s="91">
        <f>'3. Data_Input_Sheet'!M57</f>
        <v>0.39999999999999991</v>
      </c>
      <c r="G38" s="91"/>
      <c r="H38" s="367"/>
      <c r="I38" s="186"/>
      <c r="J38" s="48">
        <f>$J$42*F38</f>
        <v>46263.193512239406</v>
      </c>
      <c r="K38" s="89"/>
      <c r="L38" s="92">
        <f>'3. Data_Input_Sheet'!M64</f>
        <v>8.7800000000000003E-2</v>
      </c>
      <c r="M38" s="92"/>
      <c r="N38" s="367"/>
      <c r="O38" s="186"/>
      <c r="P38" s="48">
        <f>L38*J38</f>
        <v>4061.90839037462</v>
      </c>
      <c r="Q38" s="34"/>
    </row>
    <row r="39" spans="1:17">
      <c r="A39" s="4"/>
      <c r="B39" s="70">
        <v>5</v>
      </c>
      <c r="C39" s="89"/>
      <c r="D39" s="90" t="s">
        <v>17</v>
      </c>
      <c r="E39" s="89"/>
      <c r="F39" s="93">
        <f>'3. Data_Input_Sheet'!M58</f>
        <v>0</v>
      </c>
      <c r="G39" s="92"/>
      <c r="H39" s="367"/>
      <c r="I39" s="186"/>
      <c r="J39" s="55">
        <f>$J$42*F39</f>
        <v>0</v>
      </c>
      <c r="K39" s="89"/>
      <c r="L39" s="93">
        <f>'3. Data_Input_Sheet'!M65</f>
        <v>0</v>
      </c>
      <c r="M39" s="92"/>
      <c r="N39" s="367"/>
      <c r="O39" s="186"/>
      <c r="P39" s="55">
        <f>L39*J39</f>
        <v>0</v>
      </c>
      <c r="Q39" s="34"/>
    </row>
    <row r="40" spans="1:17" ht="13.5" thickBot="1">
      <c r="A40" s="4"/>
      <c r="B40" s="66">
        <v>6</v>
      </c>
      <c r="C40" s="34"/>
      <c r="D40" s="82" t="s">
        <v>18</v>
      </c>
      <c r="E40" s="34"/>
      <c r="F40" s="83">
        <f>SUM(F38:F39)</f>
        <v>0.39999999999999991</v>
      </c>
      <c r="G40" s="88"/>
      <c r="H40" s="86"/>
      <c r="I40" s="86"/>
      <c r="J40" s="85">
        <f>SUM(J38:J39)</f>
        <v>46263.193512239406</v>
      </c>
      <c r="K40" s="34"/>
      <c r="L40" s="83">
        <f>IF(F40=0,0,SUMPRODUCT(F38:F39,L38:L39)/F40)</f>
        <v>8.7800000000000003E-2</v>
      </c>
      <c r="M40" s="88"/>
      <c r="N40" s="34"/>
      <c r="O40" s="34"/>
      <c r="P40" s="85">
        <f>SUM(P38:P39)</f>
        <v>4061.90839037462</v>
      </c>
      <c r="Q40" s="34"/>
    </row>
    <row r="41" spans="1:17" ht="13.5" thickTop="1">
      <c r="A41" s="4"/>
      <c r="B41" s="66"/>
      <c r="C41" s="34"/>
      <c r="D41" s="34"/>
      <c r="E41" s="34"/>
      <c r="F41" s="34"/>
      <c r="G41" s="34"/>
      <c r="H41" s="34"/>
      <c r="I41" s="34"/>
      <c r="J41" s="87"/>
      <c r="K41" s="34"/>
      <c r="L41" s="88"/>
      <c r="M41" s="88"/>
      <c r="N41" s="34"/>
      <c r="O41" s="34"/>
      <c r="P41" s="87"/>
      <c r="Q41" s="34"/>
    </row>
    <row r="42" spans="1:17" ht="13.5" thickBot="1">
      <c r="A42" s="4"/>
      <c r="B42" s="66">
        <v>7</v>
      </c>
      <c r="C42" s="34"/>
      <c r="D42" s="79" t="s">
        <v>19</v>
      </c>
      <c r="E42" s="34"/>
      <c r="F42" s="178">
        <f>F35+F40</f>
        <v>1</v>
      </c>
      <c r="G42" s="117"/>
      <c r="H42" s="117"/>
      <c r="I42" s="117"/>
      <c r="J42" s="95">
        <f>'4. Rate_Base'!O18</f>
        <v>115657.98378059854</v>
      </c>
      <c r="K42" s="34"/>
      <c r="L42" s="96">
        <f>(L35*F35)+(L40*F40)</f>
        <v>5.5291931081498304E-2</v>
      </c>
      <c r="M42" s="88"/>
      <c r="N42" s="34"/>
      <c r="O42" s="34"/>
      <c r="P42" s="95">
        <f>P35+P40</f>
        <v>6394.9532682219033</v>
      </c>
      <c r="Q42" s="34"/>
    </row>
    <row r="43" spans="1:17" ht="13.5" thickTop="1">
      <c r="A43" s="4"/>
      <c r="B43" s="66"/>
      <c r="C43" s="34"/>
      <c r="D43" s="34"/>
      <c r="E43" s="34"/>
      <c r="F43" s="34"/>
      <c r="G43" s="34"/>
      <c r="H43" s="34"/>
      <c r="I43" s="34"/>
      <c r="J43" s="34"/>
      <c r="K43" s="34"/>
      <c r="L43" s="34"/>
      <c r="M43" s="34"/>
      <c r="N43" s="34"/>
      <c r="O43" s="34"/>
      <c r="P43" s="34"/>
      <c r="Q43" s="34"/>
    </row>
    <row r="44" spans="1:17">
      <c r="A44" s="4"/>
      <c r="B44" s="4"/>
      <c r="C44" s="34"/>
      <c r="D44" s="34"/>
      <c r="E44" s="34"/>
      <c r="F44" s="34"/>
      <c r="G44" s="34"/>
      <c r="H44" s="34"/>
      <c r="I44" s="34"/>
      <c r="J44" s="34"/>
      <c r="K44" s="34"/>
      <c r="L44" s="34"/>
      <c r="M44" s="34"/>
      <c r="N44" s="34"/>
      <c r="O44" s="34"/>
      <c r="P44" s="34"/>
      <c r="Q44" s="34"/>
    </row>
    <row r="45" spans="1:17">
      <c r="A45" s="4"/>
      <c r="B45" s="66"/>
      <c r="C45" s="34"/>
      <c r="D45" s="34"/>
      <c r="E45" s="34"/>
      <c r="F45" s="564" t="s">
        <v>154</v>
      </c>
      <c r="G45" s="564"/>
      <c r="H45" s="564"/>
      <c r="I45" s="564"/>
      <c r="J45" s="564"/>
      <c r="K45" s="34"/>
      <c r="L45" s="34"/>
      <c r="M45" s="34"/>
      <c r="N45" s="34"/>
      <c r="O45" s="34"/>
      <c r="P45" s="34"/>
      <c r="Q45" s="34"/>
    </row>
    <row r="46" spans="1:17">
      <c r="A46" s="4"/>
      <c r="B46" s="66"/>
      <c r="C46" s="34"/>
      <c r="D46" s="563"/>
      <c r="E46" s="563"/>
      <c r="F46" s="563"/>
      <c r="G46" s="563"/>
      <c r="H46" s="563"/>
      <c r="I46" s="563"/>
      <c r="J46" s="563"/>
      <c r="K46" s="563"/>
      <c r="L46" s="563"/>
      <c r="M46" s="563"/>
      <c r="N46" s="563"/>
      <c r="O46" s="563"/>
      <c r="P46" s="563"/>
      <c r="Q46" s="34"/>
    </row>
    <row r="47" spans="1:17">
      <c r="A47" s="4"/>
      <c r="B47" s="66"/>
      <c r="C47" s="34"/>
      <c r="D47" s="34"/>
      <c r="E47" s="34"/>
      <c r="F47" s="170" t="s">
        <v>20</v>
      </c>
      <c r="G47" s="170"/>
      <c r="H47" s="170"/>
      <c r="I47" s="170"/>
      <c r="J47" s="170" t="s">
        <v>8</v>
      </c>
      <c r="K47" s="76"/>
      <c r="L47" s="170" t="s">
        <v>20</v>
      </c>
      <c r="M47" s="170"/>
      <c r="N47" s="76"/>
      <c r="O47" s="76"/>
      <c r="P47" s="170" t="s">
        <v>8</v>
      </c>
      <c r="Q47" s="34"/>
    </row>
    <row r="48" spans="1:17">
      <c r="A48" s="4"/>
      <c r="B48" s="66"/>
      <c r="C48" s="34"/>
      <c r="D48" s="79" t="s">
        <v>11</v>
      </c>
      <c r="E48" s="34"/>
      <c r="F48" s="34"/>
      <c r="G48" s="34"/>
      <c r="H48" s="34"/>
      <c r="I48" s="34"/>
      <c r="J48" s="34"/>
      <c r="K48" s="34"/>
      <c r="L48" s="34"/>
      <c r="M48" s="34"/>
      <c r="N48" s="34"/>
      <c r="O48" s="34"/>
      <c r="P48" s="34"/>
      <c r="Q48" s="34"/>
    </row>
    <row r="49" spans="1:17">
      <c r="A49" s="4"/>
      <c r="B49" s="66">
        <v>8</v>
      </c>
      <c r="C49" s="34"/>
      <c r="D49" s="78" t="s">
        <v>12</v>
      </c>
      <c r="E49" s="34"/>
      <c r="F49" s="80">
        <f>IF(ISBLANK('3. Data_Input_Sheet'!U55),F33,'3. Data_Input_Sheet'!U55)</f>
        <v>0.56000000000000005</v>
      </c>
      <c r="G49" s="80"/>
      <c r="H49" s="367"/>
      <c r="I49" s="186"/>
      <c r="J49" s="47">
        <f>$J$58*F49</f>
        <v>64768.470917135193</v>
      </c>
      <c r="K49" s="34"/>
      <c r="L49" s="80">
        <f>IF(ISBLANK('3. Data_Input_Sheet'!U62),L17,'3. Data_Input_Sheet'!U62)</f>
        <v>3.4764162645532698E-2</v>
      </c>
      <c r="M49" s="80"/>
      <c r="N49" s="367"/>
      <c r="O49" s="186"/>
      <c r="P49" s="47">
        <f>L49*J49</f>
        <v>2251.6216572657422</v>
      </c>
      <c r="Q49" s="34"/>
    </row>
    <row r="50" spans="1:17">
      <c r="A50" s="4"/>
      <c r="B50" s="66">
        <v>9</v>
      </c>
      <c r="C50" s="34"/>
      <c r="D50" s="78" t="s">
        <v>13</v>
      </c>
      <c r="E50" s="34"/>
      <c r="F50" s="81">
        <f>IF(ISBLANK('3. Data_Input_Sheet'!U56),F34,'3. Data_Input_Sheet'!U56)</f>
        <v>0.04</v>
      </c>
      <c r="G50" s="80"/>
      <c r="H50" s="367"/>
      <c r="I50" s="186"/>
      <c r="J50" s="54">
        <f>$J$58*F50</f>
        <v>4626.3193512239422</v>
      </c>
      <c r="K50" s="34"/>
      <c r="L50" s="81">
        <f>IF(ISBLANK('3. Data_Input_Sheet'!U63),L18,'3. Data_Input_Sheet'!U63)</f>
        <v>1.7600000000000001E-2</v>
      </c>
      <c r="M50" s="80"/>
      <c r="N50" s="367"/>
      <c r="O50" s="186"/>
      <c r="P50" s="54">
        <f>L50*J50</f>
        <v>81.423220581541386</v>
      </c>
      <c r="Q50" s="34"/>
    </row>
    <row r="51" spans="1:17" ht="13.5" thickBot="1">
      <c r="A51" s="4"/>
      <c r="B51" s="66">
        <v>10</v>
      </c>
      <c r="C51" s="34"/>
      <c r="D51" s="82" t="s">
        <v>14</v>
      </c>
      <c r="E51" s="34"/>
      <c r="F51" s="83">
        <f>SUM(F49:F50)</f>
        <v>0.60000000000000009</v>
      </c>
      <c r="G51" s="88"/>
      <c r="H51" s="86"/>
      <c r="I51" s="172"/>
      <c r="J51" s="85">
        <f>SUM(J49:J50)</f>
        <v>69394.790268359138</v>
      </c>
      <c r="K51" s="34"/>
      <c r="L51" s="83">
        <f>IF(F51=0,0,SUMPRODUCT(F49:F50,L49:L50)/F51)</f>
        <v>3.3619885135830516E-2</v>
      </c>
      <c r="M51" s="88"/>
      <c r="N51" s="34"/>
      <c r="O51" s="30"/>
      <c r="P51" s="85">
        <f>SUM(P49:P50)</f>
        <v>2333.0448778472837</v>
      </c>
      <c r="Q51" s="34"/>
    </row>
    <row r="52" spans="1:17" ht="13.5" thickTop="1">
      <c r="A52" s="4"/>
      <c r="B52" s="66"/>
      <c r="C52" s="34"/>
      <c r="D52" s="34"/>
      <c r="E52" s="34"/>
      <c r="F52" s="86"/>
      <c r="G52" s="86"/>
      <c r="H52" s="86"/>
      <c r="I52" s="172"/>
      <c r="J52" s="87"/>
      <c r="K52" s="34"/>
      <c r="L52" s="88"/>
      <c r="M52" s="88"/>
      <c r="N52" s="34"/>
      <c r="O52" s="30"/>
      <c r="P52" s="87"/>
      <c r="Q52" s="34"/>
    </row>
    <row r="53" spans="1:17">
      <c r="A53" s="4"/>
      <c r="B53" s="66"/>
      <c r="C53" s="34"/>
      <c r="D53" s="79" t="s">
        <v>15</v>
      </c>
      <c r="E53" s="34"/>
      <c r="F53" s="86"/>
      <c r="G53" s="86"/>
      <c r="H53" s="86"/>
      <c r="I53" s="172"/>
      <c r="J53" s="87"/>
      <c r="K53" s="34"/>
      <c r="L53" s="88"/>
      <c r="M53" s="88"/>
      <c r="N53" s="34"/>
      <c r="O53" s="30"/>
      <c r="P53" s="87"/>
      <c r="Q53" s="34"/>
    </row>
    <row r="54" spans="1:17">
      <c r="A54" s="4"/>
      <c r="B54" s="66">
        <v>11</v>
      </c>
      <c r="C54" s="34"/>
      <c r="D54" s="78" t="s">
        <v>16</v>
      </c>
      <c r="E54" s="34"/>
      <c r="F54" s="88">
        <f>IF(ISBLANK('3. Data_Input_Sheet'!U57),F38,'3. Data_Input_Sheet'!U57)</f>
        <v>0.39999999999999991</v>
      </c>
      <c r="G54" s="86"/>
      <c r="H54" s="367"/>
      <c r="I54" s="186"/>
      <c r="J54" s="47">
        <f>$J$58*F54</f>
        <v>46263.193512239406</v>
      </c>
      <c r="K54" s="34"/>
      <c r="L54" s="80">
        <f>IF(ISBLANK('3. Data_Input_Sheet'!U64),L22,'3. Data_Input_Sheet'!U64)</f>
        <v>8.7800000000000003E-2</v>
      </c>
      <c r="M54" s="80"/>
      <c r="N54" s="367"/>
      <c r="O54" s="186"/>
      <c r="P54" s="47">
        <f>L54*J54</f>
        <v>4061.90839037462</v>
      </c>
      <c r="Q54" s="34"/>
    </row>
    <row r="55" spans="1:17">
      <c r="A55" s="4"/>
      <c r="B55" s="66">
        <v>12</v>
      </c>
      <c r="C55" s="34"/>
      <c r="D55" s="78" t="s">
        <v>17</v>
      </c>
      <c r="E55" s="34"/>
      <c r="F55" s="81">
        <f>IF(ISBLANK('3. Data_Input_Sheet'!U58),F39,'3. Data_Input_Sheet'!U58)</f>
        <v>0</v>
      </c>
      <c r="G55" s="172"/>
      <c r="H55" s="367"/>
      <c r="I55" s="186"/>
      <c r="J55" s="54">
        <f>$J$58*F55</f>
        <v>0</v>
      </c>
      <c r="K55" s="34"/>
      <c r="L55" s="81">
        <f>IF(ISBLANK('3. Data_Input_Sheet'!U65),L23,'3. Data_Input_Sheet'!U65)</f>
        <v>0</v>
      </c>
      <c r="M55" s="80"/>
      <c r="N55" s="367"/>
      <c r="O55" s="186"/>
      <c r="P55" s="54">
        <f>L55*J55</f>
        <v>0</v>
      </c>
      <c r="Q55" s="34"/>
    </row>
    <row r="56" spans="1:17" ht="13.5" thickBot="1">
      <c r="A56" s="4"/>
      <c r="B56" s="66">
        <v>13</v>
      </c>
      <c r="C56" s="34"/>
      <c r="D56" s="82" t="s">
        <v>18</v>
      </c>
      <c r="E56" s="34"/>
      <c r="F56" s="83">
        <f>SUM(F54:F55)</f>
        <v>0.39999999999999991</v>
      </c>
      <c r="G56" s="86"/>
      <c r="H56" s="86"/>
      <c r="I56" s="86"/>
      <c r="J56" s="85">
        <f>SUM(J54:J55)</f>
        <v>46263.193512239406</v>
      </c>
      <c r="K56" s="34"/>
      <c r="L56" s="83">
        <f>IF(F56=0,0,SUMPRODUCT(F54:F55,L54:L55)/F56)</f>
        <v>8.7800000000000003E-2</v>
      </c>
      <c r="M56" s="88"/>
      <c r="N56" s="34"/>
      <c r="O56" s="34"/>
      <c r="P56" s="85">
        <f>SUM(P54:P55)</f>
        <v>4061.90839037462</v>
      </c>
      <c r="Q56" s="34"/>
    </row>
    <row r="57" spans="1:17" ht="13.5" thickTop="1">
      <c r="A57" s="4"/>
      <c r="B57" s="66"/>
      <c r="C57" s="34"/>
      <c r="D57" s="34"/>
      <c r="E57" s="34"/>
      <c r="F57" s="34"/>
      <c r="G57" s="34"/>
      <c r="H57" s="34"/>
      <c r="I57" s="34"/>
      <c r="J57" s="87"/>
      <c r="K57" s="34"/>
      <c r="L57" s="88"/>
      <c r="M57" s="88"/>
      <c r="N57" s="34"/>
      <c r="O57" s="34"/>
      <c r="P57" s="87"/>
      <c r="Q57" s="34"/>
    </row>
    <row r="58" spans="1:17" ht="13.5" thickBot="1">
      <c r="A58" s="4"/>
      <c r="B58" s="66">
        <v>14</v>
      </c>
      <c r="C58" s="34"/>
      <c r="D58" s="82" t="s">
        <v>19</v>
      </c>
      <c r="E58" s="34"/>
      <c r="F58" s="178">
        <f>F51+F56</f>
        <v>1</v>
      </c>
      <c r="G58" s="117"/>
      <c r="H58" s="117"/>
      <c r="I58" s="117"/>
      <c r="J58" s="95">
        <f>'4. Rate_Base'!W18</f>
        <v>115657.98378059854</v>
      </c>
      <c r="K58" s="34"/>
      <c r="L58" s="96">
        <f>(L51*F51)+(L56*F56)</f>
        <v>5.5291931081498304E-2</v>
      </c>
      <c r="M58" s="88"/>
      <c r="N58" s="34"/>
      <c r="O58" s="34"/>
      <c r="P58" s="95">
        <f>P51+P56</f>
        <v>6394.9532682219033</v>
      </c>
      <c r="Q58" s="34"/>
    </row>
    <row r="59" spans="1:17" ht="13.5" thickTop="1">
      <c r="B59" s="34"/>
      <c r="C59" s="34"/>
      <c r="D59" s="34"/>
      <c r="E59" s="34"/>
      <c r="F59" s="34"/>
      <c r="G59" s="34"/>
      <c r="H59" s="34"/>
      <c r="I59" s="34"/>
      <c r="J59" s="34"/>
      <c r="K59" s="34"/>
      <c r="L59" s="34"/>
      <c r="M59" s="34"/>
      <c r="N59" s="34"/>
      <c r="O59" s="34"/>
      <c r="P59" s="34"/>
      <c r="Q59" s="34"/>
    </row>
    <row r="61" spans="1:17">
      <c r="B61" s="557" t="s">
        <v>38</v>
      </c>
      <c r="C61" s="557"/>
      <c r="D61" s="557"/>
      <c r="E61" s="557"/>
      <c r="F61" s="557"/>
      <c r="G61" s="557"/>
      <c r="H61" s="557"/>
      <c r="I61" s="557"/>
      <c r="J61" s="557"/>
      <c r="K61" s="557"/>
      <c r="L61" s="557"/>
      <c r="M61" s="557"/>
      <c r="N61" s="557"/>
      <c r="O61" s="557"/>
      <c r="P61" s="557"/>
    </row>
    <row r="62" spans="1:17" ht="37.5" customHeight="1">
      <c r="B62" s="11" t="s">
        <v>2</v>
      </c>
      <c r="D62" s="565" t="str">
        <f>'3. Data_Input_Sheet'!C71</f>
        <v>Data in column E is for Application as originally filed.  For updated revenue requirement as a result of interrogatory responses, technical or settlement conferences, etc., use colimn M and Adjustments in column I</v>
      </c>
      <c r="E62" s="565"/>
      <c r="F62" s="565"/>
      <c r="G62" s="565"/>
      <c r="H62" s="565"/>
      <c r="I62" s="565"/>
      <c r="J62" s="565"/>
      <c r="K62" s="565"/>
      <c r="L62" s="565"/>
      <c r="M62" s="565"/>
      <c r="N62" s="565"/>
      <c r="O62" s="565"/>
      <c r="P62" s="565"/>
    </row>
    <row r="63" spans="1:17">
      <c r="B63" s="365"/>
      <c r="D63" s="536"/>
      <c r="E63" s="536"/>
      <c r="F63" s="536"/>
      <c r="G63" s="536"/>
      <c r="H63" s="536"/>
      <c r="I63" s="536"/>
      <c r="J63" s="536"/>
      <c r="K63" s="536"/>
      <c r="L63" s="536"/>
      <c r="M63" s="536"/>
      <c r="N63" s="536"/>
      <c r="O63" s="536"/>
      <c r="P63" s="536"/>
    </row>
    <row r="64" spans="1:17">
      <c r="B64" s="365"/>
      <c r="D64" s="536"/>
      <c r="E64" s="536"/>
      <c r="F64" s="536"/>
      <c r="G64" s="536"/>
      <c r="H64" s="536"/>
      <c r="I64" s="536"/>
      <c r="J64" s="536"/>
      <c r="K64" s="536"/>
      <c r="L64" s="536"/>
      <c r="M64" s="536"/>
      <c r="N64" s="536"/>
      <c r="O64" s="536"/>
      <c r="P64" s="536"/>
    </row>
    <row r="65" spans="2:16">
      <c r="B65" s="365"/>
      <c r="D65" s="536"/>
      <c r="E65" s="536"/>
      <c r="F65" s="536"/>
      <c r="G65" s="536"/>
      <c r="H65" s="536"/>
      <c r="I65" s="536"/>
      <c r="J65" s="536"/>
      <c r="K65" s="536"/>
      <c r="L65" s="536"/>
      <c r="M65" s="536"/>
      <c r="N65" s="536"/>
      <c r="O65" s="536"/>
      <c r="P65" s="536"/>
    </row>
    <row r="66" spans="2:16">
      <c r="B66" s="365"/>
      <c r="D66" s="536"/>
      <c r="E66" s="536"/>
      <c r="F66" s="536"/>
      <c r="G66" s="536"/>
      <c r="H66" s="536"/>
      <c r="I66" s="536"/>
      <c r="J66" s="536"/>
      <c r="K66" s="536"/>
      <c r="L66" s="536"/>
      <c r="M66" s="536"/>
      <c r="N66" s="536"/>
      <c r="O66" s="536"/>
      <c r="P66" s="536"/>
    </row>
    <row r="67" spans="2:16">
      <c r="B67" s="365"/>
      <c r="D67" s="536"/>
      <c r="E67" s="536"/>
      <c r="F67" s="536"/>
      <c r="G67" s="536"/>
      <c r="H67" s="536"/>
      <c r="I67" s="536"/>
      <c r="J67" s="536"/>
      <c r="K67" s="536"/>
      <c r="L67" s="536"/>
      <c r="M67" s="536"/>
      <c r="N67" s="536"/>
      <c r="O67" s="536"/>
      <c r="P67" s="536"/>
    </row>
    <row r="68" spans="2:16">
      <c r="B68" s="365"/>
      <c r="D68" s="536"/>
      <c r="E68" s="536"/>
      <c r="F68" s="536"/>
      <c r="G68" s="536"/>
      <c r="H68" s="536"/>
      <c r="I68" s="536"/>
      <c r="J68" s="536"/>
      <c r="K68" s="536"/>
      <c r="L68" s="536"/>
      <c r="M68" s="536"/>
      <c r="N68" s="536"/>
      <c r="O68" s="536"/>
      <c r="P68" s="536"/>
    </row>
  </sheetData>
  <sheetProtection password="82A3" sheet="1" objects="1" scenarios="1" formatColumns="0" formatRows="0"/>
  <mergeCells count="20">
    <mergeCell ref="C1:N1"/>
    <mergeCell ref="C3:N3"/>
    <mergeCell ref="C4:J4"/>
    <mergeCell ref="C2:R2"/>
    <mergeCell ref="F13:J13"/>
    <mergeCell ref="B5:N5"/>
    <mergeCell ref="F11:J11"/>
    <mergeCell ref="D68:P68"/>
    <mergeCell ref="D66:P66"/>
    <mergeCell ref="D62:P62"/>
    <mergeCell ref="D63:P63"/>
    <mergeCell ref="D64:P64"/>
    <mergeCell ref="D65:P65"/>
    <mergeCell ref="D14:P14"/>
    <mergeCell ref="D30:P30"/>
    <mergeCell ref="F45:J45"/>
    <mergeCell ref="F29:J29"/>
    <mergeCell ref="D67:P67"/>
    <mergeCell ref="B61:P61"/>
    <mergeCell ref="D46:P46"/>
  </mergeCells>
  <phoneticPr fontId="2" type="noConversion"/>
  <conditionalFormatting sqref="D30:P30">
    <cfRule type="cellIs" dxfId="3" priority="1" stopIfTrue="1" operator="equal">
      <formula>""</formula>
    </cfRule>
  </conditionalFormatting>
  <printOptions horizontalCentered="1"/>
  <pageMargins left="0.74803149606299213" right="0.74803149606299213" top="0.55118110236220474" bottom="0.98425196850393704" header="0.31496062992125984" footer="0.51181102362204722"/>
  <pageSetup scale="69" orientation="portrait" r:id="rId1"/>
  <headerFooter alignWithMargins="0">
    <oddFooter>&amp;C6</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B1:R60"/>
  <sheetViews>
    <sheetView showGridLines="0" zoomScaleNormal="100" zoomScaleSheetLayoutView="100" workbookViewId="0">
      <selection activeCell="J22" sqref="J22"/>
    </sheetView>
  </sheetViews>
  <sheetFormatPr defaultColWidth="9.140625" defaultRowHeight="12.75"/>
  <cols>
    <col min="1" max="1" width="1.28515625" style="5" customWidth="1"/>
    <col min="2" max="2" width="5.7109375" style="5" customWidth="1"/>
    <col min="3" max="3" width="2.7109375" style="5" customWidth="1"/>
    <col min="4" max="4" width="27.42578125" style="5" customWidth="1"/>
    <col min="5" max="5" width="1.42578125" style="5" customWidth="1"/>
    <col min="6" max="6" width="15.7109375" style="5" customWidth="1"/>
    <col min="7" max="7" width="2.7109375" style="5" customWidth="1"/>
    <col min="8" max="8" width="15.5703125" style="5" customWidth="1"/>
    <col min="9" max="9" width="1.7109375" style="5" customWidth="1"/>
    <col min="10" max="10" width="15.7109375" style="5" customWidth="1"/>
    <col min="11" max="11" width="2.7109375" style="5" customWidth="1"/>
    <col min="12" max="12" width="15.7109375" style="5" customWidth="1"/>
    <col min="13" max="13" width="1.7109375" style="5" customWidth="1"/>
    <col min="14" max="14" width="15.7109375" style="5" customWidth="1"/>
    <col min="15" max="15" width="2.85546875" style="5" customWidth="1"/>
    <col min="16" max="16" width="15.7109375" style="5" customWidth="1"/>
    <col min="17" max="17" width="1.7109375" style="5" customWidth="1"/>
    <col min="18" max="16384" width="9.140625" style="5"/>
  </cols>
  <sheetData>
    <row r="1" spans="2:16" s="2" customFormat="1" ht="21.75">
      <c r="C1" s="576"/>
      <c r="D1" s="576"/>
      <c r="E1" s="576"/>
      <c r="F1" s="576"/>
      <c r="G1" s="576"/>
      <c r="H1" s="576"/>
      <c r="I1" s="576"/>
      <c r="J1" s="576"/>
      <c r="K1" s="576"/>
      <c r="L1" s="576"/>
      <c r="M1" s="576"/>
      <c r="N1" s="576"/>
      <c r="O1" s="576"/>
      <c r="P1" s="147" t="str">
        <f>CONCATENATE('2. Table of Contents'!$F$6," ",'2. Table of Contents'!$G$6)</f>
        <v xml:space="preserve"> </v>
      </c>
    </row>
    <row r="2" spans="2:16" s="2" customFormat="1" ht="18">
      <c r="C2" s="577"/>
      <c r="D2" s="577"/>
      <c r="E2" s="577"/>
      <c r="F2" s="577"/>
      <c r="G2" s="577"/>
      <c r="H2" s="577"/>
      <c r="I2" s="577"/>
      <c r="J2" s="577"/>
      <c r="K2" s="577"/>
      <c r="L2" s="577"/>
      <c r="M2" s="577"/>
      <c r="N2" s="577"/>
      <c r="O2" s="577"/>
    </row>
    <row r="3" spans="2:16" s="2" customFormat="1" ht="18">
      <c r="C3" s="577"/>
      <c r="D3" s="577"/>
      <c r="E3" s="577"/>
      <c r="F3" s="577"/>
      <c r="G3" s="577"/>
      <c r="H3" s="577"/>
      <c r="I3" s="577"/>
      <c r="J3" s="577"/>
      <c r="K3" s="577"/>
      <c r="L3" s="577"/>
      <c r="M3" s="577"/>
      <c r="N3" s="577"/>
      <c r="O3" s="577"/>
    </row>
    <row r="4" spans="2:16" s="2" customFormat="1" ht="18">
      <c r="C4" s="577"/>
      <c r="D4" s="577"/>
      <c r="E4" s="577"/>
      <c r="F4" s="577"/>
      <c r="G4" s="577"/>
      <c r="H4" s="577"/>
    </row>
    <row r="5" spans="2:16" s="2" customFormat="1" ht="15.75">
      <c r="E5" s="3"/>
      <c r="F5" s="3"/>
    </row>
    <row r="6" spans="2:16" s="2" customFormat="1" ht="36.75" customHeight="1"/>
    <row r="7" spans="2:16" ht="4.5" customHeight="1"/>
    <row r="8" spans="2:16" ht="15.75">
      <c r="E8" s="58"/>
      <c r="F8" s="554"/>
      <c r="G8" s="554"/>
      <c r="H8" s="554"/>
      <c r="I8" s="554"/>
      <c r="J8" s="554"/>
      <c r="K8" s="554"/>
      <c r="L8" s="554"/>
      <c r="M8" s="554"/>
      <c r="N8" s="554"/>
      <c r="O8" s="554"/>
      <c r="P8" s="554"/>
    </row>
    <row r="9" spans="2:16" ht="15.75">
      <c r="E9" s="58"/>
      <c r="F9" s="59"/>
      <c r="G9" s="59"/>
      <c r="H9" s="59"/>
      <c r="I9" s="59"/>
      <c r="J9" s="59"/>
      <c r="K9" s="59"/>
      <c r="L9" s="59"/>
      <c r="M9" s="59"/>
      <c r="N9" s="59"/>
      <c r="O9" s="59"/>
      <c r="P9" s="59"/>
    </row>
    <row r="10" spans="2:16" ht="18">
      <c r="B10" s="382" t="s">
        <v>251</v>
      </c>
      <c r="E10" s="58"/>
      <c r="F10" s="59"/>
      <c r="G10" s="59"/>
      <c r="H10" s="59"/>
      <c r="I10" s="59"/>
      <c r="J10" s="59"/>
      <c r="K10" s="59"/>
      <c r="L10" s="59"/>
      <c r="M10" s="59"/>
      <c r="N10" s="59"/>
      <c r="O10" s="59"/>
      <c r="P10" s="59"/>
    </row>
    <row r="11" spans="2:16" ht="15.75">
      <c r="E11" s="58"/>
      <c r="F11" s="59"/>
      <c r="G11" s="59"/>
      <c r="H11" s="59"/>
      <c r="I11" s="59"/>
      <c r="J11" s="59"/>
      <c r="K11" s="59"/>
      <c r="L11" s="59"/>
      <c r="M11" s="59"/>
      <c r="N11" s="59"/>
      <c r="O11" s="59"/>
      <c r="P11" s="59"/>
    </row>
    <row r="12" spans="2:16" ht="15.75">
      <c r="E12" s="58"/>
      <c r="F12" s="59"/>
      <c r="G12" s="59"/>
      <c r="H12" s="59"/>
      <c r="I12" s="59"/>
      <c r="J12" s="59"/>
      <c r="K12" s="59"/>
      <c r="L12" s="59"/>
      <c r="M12" s="59"/>
      <c r="N12" s="59"/>
      <c r="O12" s="59"/>
      <c r="P12" s="59"/>
    </row>
    <row r="13" spans="2:16" ht="15.75">
      <c r="E13" s="58"/>
      <c r="F13" s="575" t="s">
        <v>155</v>
      </c>
      <c r="G13" s="575"/>
      <c r="H13" s="575"/>
      <c r="I13" s="310"/>
      <c r="J13" s="575" t="str">
        <f>IF(ISBLANK('3. Data_Input_Sheet'!M12),"",'3. Data_Input_Sheet'!M12)</f>
        <v>Close of Discovery</v>
      </c>
      <c r="K13" s="575"/>
      <c r="L13" s="575"/>
      <c r="M13" s="310"/>
      <c r="N13" s="575" t="str">
        <f>'3. Data_Input_Sheet'!U12</f>
        <v>Per Board Decision</v>
      </c>
      <c r="O13" s="575"/>
      <c r="P13" s="575"/>
    </row>
    <row r="14" spans="2:16" ht="6" customHeight="1">
      <c r="D14" s="59"/>
      <c r="E14" s="59"/>
      <c r="F14" s="310"/>
      <c r="G14" s="310"/>
      <c r="H14" s="310"/>
      <c r="I14" s="310"/>
      <c r="J14" s="310"/>
      <c r="K14" s="310"/>
      <c r="L14" s="310"/>
      <c r="M14" s="310"/>
      <c r="N14" s="310"/>
      <c r="O14" s="310"/>
      <c r="P14" s="311"/>
    </row>
    <row r="15" spans="2:16">
      <c r="B15" s="580" t="s">
        <v>37</v>
      </c>
      <c r="D15" s="579" t="s">
        <v>36</v>
      </c>
      <c r="F15" s="573" t="s">
        <v>127</v>
      </c>
      <c r="G15" s="312"/>
      <c r="H15" s="571" t="s">
        <v>128</v>
      </c>
      <c r="I15" s="313"/>
      <c r="J15" s="573" t="s">
        <v>127</v>
      </c>
      <c r="K15" s="312"/>
      <c r="L15" s="571" t="s">
        <v>128</v>
      </c>
      <c r="M15" s="313"/>
      <c r="N15" s="573" t="s">
        <v>127</v>
      </c>
      <c r="O15" s="312"/>
      <c r="P15" s="571" t="s">
        <v>128</v>
      </c>
    </row>
    <row r="16" spans="2:16" ht="24.75" customHeight="1">
      <c r="B16" s="581"/>
      <c r="C16" s="61"/>
      <c r="D16" s="569"/>
      <c r="E16" s="44"/>
      <c r="F16" s="574"/>
      <c r="G16" s="308"/>
      <c r="H16" s="572"/>
      <c r="I16" s="313"/>
      <c r="J16" s="574"/>
      <c r="K16" s="2"/>
      <c r="L16" s="572"/>
      <c r="M16" s="313"/>
      <c r="N16" s="574"/>
      <c r="O16" s="2"/>
      <c r="P16" s="572"/>
    </row>
    <row r="17" spans="2:18">
      <c r="B17" s="62"/>
      <c r="C17" s="61"/>
      <c r="D17" s="44"/>
      <c r="E17" s="44"/>
      <c r="F17" s="63"/>
      <c r="G17" s="44"/>
      <c r="H17" s="64"/>
      <c r="J17" s="65"/>
      <c r="K17" s="66"/>
      <c r="L17" s="67"/>
      <c r="N17" s="65"/>
      <c r="O17" s="66"/>
      <c r="P17" s="67"/>
      <c r="Q17" s="139"/>
    </row>
    <row r="18" spans="2:18">
      <c r="B18" s="4"/>
      <c r="D18" s="4"/>
      <c r="F18" s="65"/>
      <c r="G18" s="66"/>
      <c r="H18" s="35"/>
      <c r="J18" s="65"/>
      <c r="K18" s="66"/>
      <c r="L18" s="35"/>
      <c r="N18" s="65"/>
      <c r="O18" s="66"/>
      <c r="P18" s="35"/>
      <c r="Q18" s="139"/>
    </row>
    <row r="19" spans="2:18">
      <c r="B19" s="171">
        <v>1</v>
      </c>
      <c r="D19" s="5" t="s">
        <v>149</v>
      </c>
      <c r="F19" s="204"/>
      <c r="G19" s="205"/>
      <c r="H19" s="206">
        <f>F52</f>
        <v>1371.4977666711936</v>
      </c>
      <c r="I19" s="197"/>
      <c r="J19" s="204"/>
      <c r="K19" s="205"/>
      <c r="L19" s="206">
        <f>J52</f>
        <v>836.05094508669151</v>
      </c>
      <c r="M19" s="197"/>
      <c r="N19" s="204"/>
      <c r="O19" s="205"/>
      <c r="P19" s="206">
        <f>N52</f>
        <v>836.05094508669151</v>
      </c>
      <c r="Q19" s="139"/>
    </row>
    <row r="20" spans="2:18">
      <c r="B20" s="171">
        <v>2</v>
      </c>
      <c r="D20" s="5" t="s">
        <v>150</v>
      </c>
      <c r="F20" s="207">
        <f>'3. Data_Input_Sheet'!E25</f>
        <v>23603.655927909476</v>
      </c>
      <c r="G20" s="205"/>
      <c r="H20" s="206">
        <f>'3. Data_Input_Sheet'!E26-H19</f>
        <v>23603.655927909473</v>
      </c>
      <c r="I20" s="197"/>
      <c r="J20" s="207">
        <f>IF(ISBLANK('3. Data_Input_Sheet'!M25),'3. Data_Input_Sheet'!E25,'3. Data_Input_Sheet'!M25)</f>
        <v>22904.47944886141</v>
      </c>
      <c r="K20" s="205"/>
      <c r="L20" s="206">
        <f>IF(ISBLANK('3. Data_Input_Sheet'!M26),'3. Data_Input_Sheet'!E26-L19,'3. Data_Input_Sheet'!M26-L19)</f>
        <v>22904.479448861406</v>
      </c>
      <c r="M20" s="197"/>
      <c r="N20" s="207">
        <f>IF(ISBLANK('3. Data_Input_Sheet'!U25),'3. Data_Input_Sheet'!M25,'3. Data_Input_Sheet'!U25)</f>
        <v>22904.47944886141</v>
      </c>
      <c r="O20" s="205"/>
      <c r="P20" s="206">
        <f>IF(ISBLANK('3. Data_Input_Sheet'!U26),'3. Data_Input_Sheet'!M26-P19,'3. Data_Input_Sheet'!U26-P19)</f>
        <v>22904.479448861406</v>
      </c>
      <c r="Q20" s="139"/>
    </row>
    <row r="21" spans="2:18" ht="25.5">
      <c r="B21" s="171">
        <v>3</v>
      </c>
      <c r="D21" s="28" t="s">
        <v>151</v>
      </c>
      <c r="F21" s="208">
        <f>'5. Utility Income'!F48</f>
        <v>1395.4404881099958</v>
      </c>
      <c r="G21" s="205"/>
      <c r="H21" s="209">
        <f>'5. Utility Income'!F48</f>
        <v>1395.4404881099958</v>
      </c>
      <c r="I21" s="197"/>
      <c r="J21" s="208">
        <f>'5. Utility Income'!N48</f>
        <v>1389.649886392134</v>
      </c>
      <c r="K21" s="205"/>
      <c r="L21" s="206">
        <f>J21</f>
        <v>1389.649886392134</v>
      </c>
      <c r="M21" s="197"/>
      <c r="N21" s="208">
        <f>'5. Utility Income'!V48</f>
        <v>1389.649886392134</v>
      </c>
      <c r="O21" s="205"/>
      <c r="P21" s="206">
        <f>'5. Utility Income'!V48</f>
        <v>1389.649886392134</v>
      </c>
      <c r="Q21" s="139"/>
    </row>
    <row r="22" spans="2:18" ht="13.5" thickBot="1">
      <c r="B22" s="171">
        <v>4</v>
      </c>
      <c r="D22" s="16" t="s">
        <v>110</v>
      </c>
      <c r="F22" s="210">
        <f>SUM(F20:F21)</f>
        <v>24999.096416019471</v>
      </c>
      <c r="G22" s="205"/>
      <c r="H22" s="211">
        <f>SUM(H19:H21)</f>
        <v>26370.59418269066</v>
      </c>
      <c r="I22" s="197"/>
      <c r="J22" s="212">
        <f>SUM(J20:J21)</f>
        <v>24294.129335253543</v>
      </c>
      <c r="K22" s="205"/>
      <c r="L22" s="211">
        <f>SUM(L19:L21)</f>
        <v>25130.180280340232</v>
      </c>
      <c r="M22" s="197"/>
      <c r="N22" s="212">
        <f>SUM(N20:N21)</f>
        <v>24294.129335253543</v>
      </c>
      <c r="O22" s="205"/>
      <c r="P22" s="211">
        <f>SUM(P19:P21)</f>
        <v>25130.180280340232</v>
      </c>
      <c r="Q22" s="139"/>
    </row>
    <row r="23" spans="2:18" ht="13.5" thickTop="1">
      <c r="B23" s="171"/>
      <c r="F23" s="213"/>
      <c r="G23" s="205"/>
      <c r="H23" s="214"/>
      <c r="I23" s="197"/>
      <c r="J23" s="213"/>
      <c r="K23" s="205"/>
      <c r="L23" s="206"/>
      <c r="M23" s="197"/>
      <c r="N23" s="213"/>
      <c r="O23" s="205"/>
      <c r="P23" s="206"/>
      <c r="Q23" s="139"/>
    </row>
    <row r="24" spans="2:18">
      <c r="B24" s="171">
        <v>5</v>
      </c>
      <c r="C24" s="15"/>
      <c r="D24" s="24" t="s">
        <v>117</v>
      </c>
      <c r="E24" s="15"/>
      <c r="F24" s="207">
        <f>'5. Utility Income'!F27</f>
        <v>18445.141633596359</v>
      </c>
      <c r="G24" s="205"/>
      <c r="H24" s="206">
        <f>'5. Utility Income'!F27</f>
        <v>18445.141633596359</v>
      </c>
      <c r="I24" s="197"/>
      <c r="J24" s="207">
        <f>'5. Utility Income'!N27</f>
        <v>18268.377744707468</v>
      </c>
      <c r="K24" s="205"/>
      <c r="L24" s="206">
        <f>'5. Utility Income'!N27</f>
        <v>18268.377744707468</v>
      </c>
      <c r="M24" s="197"/>
      <c r="N24" s="207">
        <f>'5. Utility Income'!V27</f>
        <v>18268.377744707468</v>
      </c>
      <c r="O24" s="205"/>
      <c r="P24" s="206">
        <f>'5. Utility Income'!V27</f>
        <v>18268.377744707468</v>
      </c>
      <c r="Q24" s="140"/>
      <c r="R24" s="15"/>
    </row>
    <row r="25" spans="2:18">
      <c r="B25" s="171">
        <v>6</v>
      </c>
      <c r="C25" s="15"/>
      <c r="D25" s="24" t="s">
        <v>95</v>
      </c>
      <c r="E25" s="15"/>
      <c r="F25" s="207">
        <f>'5. Utility Income'!F30</f>
        <v>2874.9108730923822</v>
      </c>
      <c r="G25" s="205"/>
      <c r="H25" s="206">
        <f>'5. Utility Income'!F30</f>
        <v>2874.9108730923822</v>
      </c>
      <c r="I25" s="197"/>
      <c r="J25" s="207">
        <f>'5. Utility Income'!N30</f>
        <v>2333.0448778472837</v>
      </c>
      <c r="K25" s="205"/>
      <c r="L25" s="206">
        <f>'5. Utility Income'!N30</f>
        <v>2333.0448778472837</v>
      </c>
      <c r="M25" s="197"/>
      <c r="N25" s="207">
        <f>'5. Utility Income'!V30</f>
        <v>2333.0448778472837</v>
      </c>
      <c r="O25" s="205"/>
      <c r="P25" s="206">
        <f>'5. Utility Income'!V30</f>
        <v>2333.0448778472837</v>
      </c>
      <c r="Q25" s="140"/>
      <c r="R25" s="15"/>
    </row>
    <row r="26" spans="2:18" ht="13.5" thickBot="1">
      <c r="B26" s="171">
        <v>8</v>
      </c>
      <c r="D26" s="16" t="s">
        <v>118</v>
      </c>
      <c r="F26" s="210">
        <f>SUM(F24:F25)</f>
        <v>21320.052506688742</v>
      </c>
      <c r="G26" s="205"/>
      <c r="H26" s="211">
        <f>SUM(H24:H25)</f>
        <v>21320.052506688742</v>
      </c>
      <c r="I26" s="197"/>
      <c r="J26" s="212">
        <f>SUM(J24:J25)</f>
        <v>20601.422622554754</v>
      </c>
      <c r="K26" s="205"/>
      <c r="L26" s="211">
        <f>SUM(L24:L25)</f>
        <v>20601.422622554754</v>
      </c>
      <c r="M26" s="197"/>
      <c r="N26" s="212">
        <f>SUM(N24:N25)</f>
        <v>20601.422622554754</v>
      </c>
      <c r="O26" s="205"/>
      <c r="P26" s="211">
        <f>SUM(P24:P25)</f>
        <v>20601.422622554754</v>
      </c>
      <c r="Q26" s="139"/>
    </row>
    <row r="27" spans="2:18" ht="13.5" thickTop="1">
      <c r="B27" s="171"/>
      <c r="D27" s="4"/>
      <c r="F27" s="207"/>
      <c r="G27" s="205"/>
      <c r="H27" s="206"/>
      <c r="I27" s="197"/>
      <c r="J27" s="213"/>
      <c r="K27" s="205"/>
      <c r="L27" s="206"/>
      <c r="M27" s="197"/>
      <c r="N27" s="213"/>
      <c r="O27" s="205"/>
      <c r="P27" s="206"/>
      <c r="Q27" s="139"/>
    </row>
    <row r="28" spans="2:18" ht="25.5">
      <c r="B28" s="171">
        <v>9</v>
      </c>
      <c r="D28" s="56" t="s">
        <v>111</v>
      </c>
      <c r="F28" s="207">
        <f>F22-F26</f>
        <v>3679.0439093307286</v>
      </c>
      <c r="G28" s="205"/>
      <c r="H28" s="206">
        <f>H22-H26</f>
        <v>5050.5416760019179</v>
      </c>
      <c r="I28" s="197"/>
      <c r="J28" s="213">
        <f>J22-J26</f>
        <v>3692.7067126987895</v>
      </c>
      <c r="K28" s="205"/>
      <c r="L28" s="206">
        <f>L22-L26</f>
        <v>4528.7576577854779</v>
      </c>
      <c r="M28" s="197"/>
      <c r="N28" s="213">
        <f>N22-N26</f>
        <v>3692.7067126987895</v>
      </c>
      <c r="O28" s="205"/>
      <c r="P28" s="206">
        <f>P22-P26</f>
        <v>4528.7576577854779</v>
      </c>
      <c r="Q28" s="139"/>
    </row>
    <row r="29" spans="2:18">
      <c r="B29" s="171"/>
      <c r="D29" s="5" t="s">
        <v>60</v>
      </c>
      <c r="F29" s="213"/>
      <c r="G29" s="205"/>
      <c r="H29" s="214"/>
      <c r="I29" s="197"/>
      <c r="J29" s="213"/>
      <c r="K29" s="205"/>
      <c r="L29" s="206"/>
      <c r="M29" s="197"/>
      <c r="N29" s="213"/>
      <c r="O29" s="205"/>
      <c r="P29" s="206"/>
      <c r="Q29" s="139"/>
    </row>
    <row r="30" spans="2:18" ht="25.5" customHeight="1">
      <c r="B30" s="171">
        <v>10</v>
      </c>
      <c r="D30" s="71" t="s">
        <v>282</v>
      </c>
      <c r="F30" s="208">
        <f>'3. Data_Input_Sheet'!E44</f>
        <v>-2796.4609740625165</v>
      </c>
      <c r="G30" s="205"/>
      <c r="H30" s="209">
        <f>'3. Data_Input_Sheet'!E44</f>
        <v>-2796.4609740625165</v>
      </c>
      <c r="I30" s="197"/>
      <c r="J30" s="208">
        <f>IF(ISBLANK('3. Data_Input_Sheet'!M44),'3. Data_Input_Sheet'!E44,'3. Data_Input_Sheet'!M44)</f>
        <v>-2385.6248629514048</v>
      </c>
      <c r="K30" s="205"/>
      <c r="L30" s="209">
        <f>IF(ISBLANK('3. Data_Input_Sheet'!M44),'3. Data_Input_Sheet'!E44,'3. Data_Input_Sheet'!M44)</f>
        <v>-2385.6248629514048</v>
      </c>
      <c r="M30" s="197"/>
      <c r="N30" s="208">
        <f>IF(ISBLANK('3. Data_Input_Sheet'!U44),'3. Data_Input_Sheet'!M44,'3. Data_Input_Sheet'!U44)</f>
        <v>-2385.6248629514048</v>
      </c>
      <c r="O30" s="205"/>
      <c r="P30" s="209">
        <f>IF(ISBLANK('3. Data_Input_Sheet'!U44),'3. Data_Input_Sheet'!M44,'3. Data_Input_Sheet'!U44)</f>
        <v>-2385.6248629514048</v>
      </c>
      <c r="Q30" s="139"/>
    </row>
    <row r="31" spans="2:18">
      <c r="B31" s="171">
        <v>11</v>
      </c>
      <c r="D31" s="16" t="s">
        <v>115</v>
      </c>
      <c r="F31" s="213">
        <f>SUM(F28:F30)</f>
        <v>882.58293526821217</v>
      </c>
      <c r="G31" s="205"/>
      <c r="H31" s="214">
        <f>SUM(H28:H30)</f>
        <v>2254.0807019394015</v>
      </c>
      <c r="I31" s="197"/>
      <c r="J31" s="213">
        <f>SUM(J28+J30)</f>
        <v>1307.0818497473847</v>
      </c>
      <c r="K31" s="205"/>
      <c r="L31" s="206">
        <f>L28+L30</f>
        <v>2143.1327948340731</v>
      </c>
      <c r="M31" s="197"/>
      <c r="N31" s="213">
        <f>SUM(N28+N30)</f>
        <v>1307.0818497473847</v>
      </c>
      <c r="O31" s="205"/>
      <c r="P31" s="206">
        <f>P28+P30</f>
        <v>2143.1327948340731</v>
      </c>
      <c r="Q31" s="139"/>
    </row>
    <row r="32" spans="2:18">
      <c r="B32" s="171"/>
      <c r="D32" s="4"/>
      <c r="F32" s="213"/>
      <c r="G32" s="205"/>
      <c r="H32" s="214"/>
      <c r="I32" s="197"/>
      <c r="J32" s="213"/>
      <c r="K32" s="205"/>
      <c r="L32" s="214"/>
      <c r="M32" s="197"/>
      <c r="N32" s="213"/>
      <c r="O32" s="205"/>
      <c r="P32" s="214"/>
      <c r="Q32" s="139"/>
    </row>
    <row r="33" spans="2:17">
      <c r="B33" s="171">
        <v>12</v>
      </c>
      <c r="D33" s="25" t="s">
        <v>152</v>
      </c>
      <c r="F33" s="215">
        <f>'6. Taxes_PILs'!G41</f>
        <v>0.24509056100135035</v>
      </c>
      <c r="G33" s="216"/>
      <c r="H33" s="203">
        <f>'6. Taxes_PILs'!G41</f>
        <v>0.24509056100135035</v>
      </c>
      <c r="I33" s="217"/>
      <c r="J33" s="215">
        <f>'6. Taxes_PILs'!K41</f>
        <v>0.24412047727761066</v>
      </c>
      <c r="K33" s="216"/>
      <c r="L33" s="203">
        <f>'6. Taxes_PILs'!K41</f>
        <v>0.24412047727761066</v>
      </c>
      <c r="M33" s="217"/>
      <c r="N33" s="215">
        <f>'6. Taxes_PILs'!O41</f>
        <v>0.24412047727761066</v>
      </c>
      <c r="O33" s="216"/>
      <c r="P33" s="203">
        <f>'6. Taxes_PILs'!O41</f>
        <v>0.24412047727761066</v>
      </c>
      <c r="Q33" s="139"/>
    </row>
    <row r="34" spans="2:17" ht="25.5">
      <c r="B34" s="171">
        <v>13</v>
      </c>
      <c r="D34" s="166" t="s">
        <v>153</v>
      </c>
      <c r="F34" s="207">
        <f>F31*F33</f>
        <v>216.31274673510461</v>
      </c>
      <c r="G34" s="205"/>
      <c r="H34" s="206">
        <f>H31*H33</f>
        <v>552.45390378064553</v>
      </c>
      <c r="I34" s="197"/>
      <c r="J34" s="213">
        <f>J31*J33</f>
        <v>319.08544500123372</v>
      </c>
      <c r="K34" s="205"/>
      <c r="L34" s="206">
        <f>L31*L33</f>
        <v>523.18260074419356</v>
      </c>
      <c r="M34" s="197"/>
      <c r="N34" s="213">
        <f>N31*N33</f>
        <v>319.08544500123372</v>
      </c>
      <c r="O34" s="205"/>
      <c r="P34" s="206">
        <f>P31*P33</f>
        <v>523.18260074419356</v>
      </c>
      <c r="Q34" s="139"/>
    </row>
    <row r="35" spans="2:17">
      <c r="B35" s="171">
        <v>14</v>
      </c>
      <c r="D35" s="4" t="s">
        <v>116</v>
      </c>
      <c r="F35" s="207">
        <f>'3. Data_Input_Sheet'!E51</f>
        <v>-56.333333333333336</v>
      </c>
      <c r="G35" s="205"/>
      <c r="H35" s="206">
        <f>'3. Data_Input_Sheet'!E51</f>
        <v>-56.333333333333336</v>
      </c>
      <c r="I35" s="197"/>
      <c r="J35" s="207">
        <f>IF(ISBLANK('3. Data_Input_Sheet'!M51),'3. Data_Input_Sheet'!E51,'3. Data_Input_Sheet'!M51)</f>
        <v>-56.333333333333336</v>
      </c>
      <c r="K35" s="205"/>
      <c r="L35" s="206">
        <f>IF(ISBLANK('3. Data_Input_Sheet'!M51),'3. Data_Input_Sheet'!E51,'3. Data_Input_Sheet'!M51)</f>
        <v>-56.333333333333336</v>
      </c>
      <c r="M35" s="197"/>
      <c r="N35" s="207">
        <f>IF(ISBLANK('3. Data_Input_Sheet'!U51),'3. Data_Input_Sheet'!M51,'3. Data_Input_Sheet'!U51)</f>
        <v>-56.333333333333336</v>
      </c>
      <c r="O35" s="205"/>
      <c r="P35" s="206">
        <f>IF(ISBLANK('3. Data_Input_Sheet'!U51),'3. Data_Input_Sheet'!M51,'3. Data_Input_Sheet'!U51)</f>
        <v>-56.333333333333336</v>
      </c>
      <c r="Q35" s="139"/>
    </row>
    <row r="36" spans="2:17" ht="13.5" thickBot="1">
      <c r="B36" s="171">
        <v>15</v>
      </c>
      <c r="D36" s="16" t="s">
        <v>112</v>
      </c>
      <c r="F36" s="210">
        <f>F28-SUM(F34:F35)</f>
        <v>3519.0644959289575</v>
      </c>
      <c r="G36" s="205"/>
      <c r="H36" s="211">
        <f>'5. Utility Income'!F37</f>
        <v>4554.4211055546048</v>
      </c>
      <c r="I36" s="197"/>
      <c r="J36" s="212">
        <f>J28-SUM(J34:J35)</f>
        <v>3429.9546010308891</v>
      </c>
      <c r="K36" s="205"/>
      <c r="L36" s="211">
        <f>'5. Utility Income'!N37</f>
        <v>4061.9083903746168</v>
      </c>
      <c r="M36" s="197"/>
      <c r="N36" s="212">
        <f>N28-SUM(N34:N35)</f>
        <v>3429.9546010308891</v>
      </c>
      <c r="O36" s="205"/>
      <c r="P36" s="211">
        <f>'5. Utility Income'!V37</f>
        <v>4061.9083903746168</v>
      </c>
      <c r="Q36" s="139"/>
    </row>
    <row r="37" spans="2:17" ht="13.5" thickTop="1">
      <c r="B37" s="171"/>
      <c r="F37" s="213"/>
      <c r="G37" s="205"/>
      <c r="H37" s="214"/>
      <c r="I37" s="197"/>
      <c r="J37" s="213"/>
      <c r="K37" s="205"/>
      <c r="L37" s="214"/>
      <c r="M37" s="197"/>
      <c r="N37" s="213"/>
      <c r="O37" s="205"/>
      <c r="P37" s="214"/>
      <c r="Q37" s="139"/>
    </row>
    <row r="38" spans="2:17">
      <c r="B38" s="171">
        <v>16</v>
      </c>
      <c r="D38" s="16" t="s">
        <v>48</v>
      </c>
      <c r="F38" s="207">
        <f>'4. Rate_Base'!G18</f>
        <v>123896.11277352041</v>
      </c>
      <c r="G38" s="205"/>
      <c r="H38" s="206">
        <f>'4. Rate_Base'!G18</f>
        <v>123896.11277352041</v>
      </c>
      <c r="I38" s="197"/>
      <c r="J38" s="207">
        <f>'4. Rate_Base'!O18</f>
        <v>115657.98378059854</v>
      </c>
      <c r="K38" s="205"/>
      <c r="L38" s="206">
        <f>'4. Rate_Base'!O18</f>
        <v>115657.98378059854</v>
      </c>
      <c r="M38" s="197"/>
      <c r="N38" s="207">
        <f>'4. Rate_Base'!W18</f>
        <v>115657.98378059854</v>
      </c>
      <c r="O38" s="205"/>
      <c r="P38" s="206">
        <f>'4. Rate_Base'!W18</f>
        <v>115657.98378059854</v>
      </c>
      <c r="Q38" s="139"/>
    </row>
    <row r="39" spans="2:17">
      <c r="B39" s="171"/>
      <c r="D39" s="4"/>
      <c r="F39" s="207"/>
      <c r="G39" s="205"/>
      <c r="H39" s="206"/>
      <c r="I39" s="197"/>
      <c r="J39" s="213"/>
      <c r="K39" s="205"/>
      <c r="L39" s="206"/>
      <c r="M39" s="197"/>
      <c r="N39" s="213"/>
      <c r="O39" s="205"/>
      <c r="P39" s="206"/>
      <c r="Q39" s="139"/>
    </row>
    <row r="40" spans="2:17" ht="25.5">
      <c r="B40" s="171">
        <v>17</v>
      </c>
      <c r="D40" s="167" t="s">
        <v>132</v>
      </c>
      <c r="E40" s="72"/>
      <c r="F40" s="218">
        <f>'7. Cost_of_Capital'!J24</f>
        <v>49558.445109408152</v>
      </c>
      <c r="G40" s="219"/>
      <c r="H40" s="220">
        <f>F40</f>
        <v>49558.445109408152</v>
      </c>
      <c r="I40" s="197"/>
      <c r="J40" s="207">
        <f>'7. Cost_of_Capital'!J40</f>
        <v>46263.193512239406</v>
      </c>
      <c r="K40" s="205"/>
      <c r="L40" s="214">
        <f>J40</f>
        <v>46263.193512239406</v>
      </c>
      <c r="M40" s="197"/>
      <c r="N40" s="207">
        <f>'7. Cost_of_Capital'!J56</f>
        <v>46263.193512239406</v>
      </c>
      <c r="O40" s="205"/>
      <c r="P40" s="214">
        <f>N40</f>
        <v>46263.193512239406</v>
      </c>
      <c r="Q40" s="139"/>
    </row>
    <row r="41" spans="2:17">
      <c r="B41" s="171"/>
      <c r="D41" s="72"/>
      <c r="E41" s="72"/>
      <c r="F41" s="221"/>
      <c r="G41" s="219"/>
      <c r="H41" s="222"/>
      <c r="I41" s="197"/>
      <c r="J41" s="204"/>
      <c r="K41" s="205"/>
      <c r="L41" s="199"/>
      <c r="M41" s="197"/>
      <c r="N41" s="204"/>
      <c r="O41" s="205"/>
      <c r="P41" s="199"/>
      <c r="Q41" s="139"/>
    </row>
    <row r="42" spans="2:17" ht="25.5">
      <c r="B42" s="171">
        <v>18</v>
      </c>
      <c r="D42" s="28" t="s">
        <v>235</v>
      </c>
      <c r="F42" s="215">
        <f>IF(F40=0,0,F36/F40)</f>
        <v>7.100837179536329E-2</v>
      </c>
      <c r="G42" s="205"/>
      <c r="H42" s="203">
        <f>IF(H40=0,0,H36/H40)</f>
        <v>9.1899999999999912E-2</v>
      </c>
      <c r="I42" s="197"/>
      <c r="J42" s="215">
        <f>IF(J40=0,0,J36/J40)</f>
        <v>7.4140030997286416E-2</v>
      </c>
      <c r="K42" s="205"/>
      <c r="L42" s="203">
        <f>IF(L40=0,0,L36/L40)</f>
        <v>8.7799999999999934E-2</v>
      </c>
      <c r="M42" s="197"/>
      <c r="N42" s="215">
        <f>IF(N40=0,0,N36/N40)</f>
        <v>7.4140030997286416E-2</v>
      </c>
      <c r="O42" s="205"/>
      <c r="P42" s="203">
        <f>IF(P40=0,0,P36/P40)</f>
        <v>8.7799999999999934E-2</v>
      </c>
      <c r="Q42" s="139"/>
    </row>
    <row r="43" spans="2:17" ht="25.5">
      <c r="B43" s="171">
        <v>19</v>
      </c>
      <c r="D43" s="28" t="s">
        <v>119</v>
      </c>
      <c r="F43" s="223">
        <f>'7. Cost_of_Capital'!L24</f>
        <v>9.1899999999999982E-2</v>
      </c>
      <c r="G43" s="205"/>
      <c r="H43" s="224">
        <f>'7. Cost_of_Capital'!L24</f>
        <v>9.1899999999999982E-2</v>
      </c>
      <c r="I43" s="197"/>
      <c r="J43" s="225">
        <f>'7. Cost_of_Capital'!L40</f>
        <v>8.7800000000000003E-2</v>
      </c>
      <c r="K43" s="205"/>
      <c r="L43" s="224">
        <f>'7. Cost_of_Capital'!L40</f>
        <v>8.7800000000000003E-2</v>
      </c>
      <c r="M43" s="197"/>
      <c r="N43" s="225">
        <f>'7. Cost_of_Capital'!L56</f>
        <v>8.7800000000000003E-2</v>
      </c>
      <c r="O43" s="205"/>
      <c r="P43" s="224">
        <f>'7. Cost_of_Capital'!L56</f>
        <v>8.7800000000000003E-2</v>
      </c>
      <c r="Q43" s="139"/>
    </row>
    <row r="44" spans="2:17" ht="25.5">
      <c r="B44" s="171">
        <v>20</v>
      </c>
      <c r="D44" s="28" t="s">
        <v>230</v>
      </c>
      <c r="F44" s="215">
        <f>F42-F43</f>
        <v>-2.0891628204636692E-2</v>
      </c>
      <c r="G44" s="205"/>
      <c r="H44" s="203">
        <f>H42-H43</f>
        <v>0</v>
      </c>
      <c r="I44" s="197"/>
      <c r="J44" s="226">
        <f>J42-J43</f>
        <v>-1.3659969002713587E-2</v>
      </c>
      <c r="K44" s="205"/>
      <c r="L44" s="203">
        <f>L42-L43</f>
        <v>0</v>
      </c>
      <c r="M44" s="197"/>
      <c r="N44" s="226">
        <f>N42-N43</f>
        <v>-1.3659969002713587E-2</v>
      </c>
      <c r="O44" s="205"/>
      <c r="P44" s="203">
        <f>P42-P43</f>
        <v>0</v>
      </c>
      <c r="Q44" s="139"/>
    </row>
    <row r="45" spans="2:17">
      <c r="B45" s="171"/>
      <c r="F45" s="215"/>
      <c r="G45" s="205"/>
      <c r="H45" s="203"/>
      <c r="I45" s="197"/>
      <c r="J45" s="204"/>
      <c r="K45" s="205"/>
      <c r="L45" s="199"/>
      <c r="M45" s="197"/>
      <c r="N45" s="204"/>
      <c r="O45" s="205"/>
      <c r="P45" s="199"/>
      <c r="Q45" s="139"/>
    </row>
    <row r="46" spans="2:17">
      <c r="B46" s="171">
        <v>21</v>
      </c>
      <c r="D46" s="5" t="s">
        <v>49</v>
      </c>
      <c r="F46" s="215">
        <f>IF(F38=0,0,(F36+F25)/F38)</f>
        <v>5.1607554312130828E-2</v>
      </c>
      <c r="G46" s="205"/>
      <c r="H46" s="203">
        <f>IF(H38=0,0,(H36+H25)/H38)</f>
        <v>5.9964205593985472E-2</v>
      </c>
      <c r="I46" s="197"/>
      <c r="J46" s="215">
        <f>IF(J38=0,0,(J36+J25)/J38)</f>
        <v>4.9827943480412876E-2</v>
      </c>
      <c r="K46" s="205"/>
      <c r="L46" s="203">
        <f>IF(L40=0,0,(L36+L25)/L38)</f>
        <v>5.5291931081498283E-2</v>
      </c>
      <c r="M46" s="197"/>
      <c r="N46" s="215">
        <f>IF(N38=0,0,(N36+N25)/N38)</f>
        <v>4.9827943480412876E-2</v>
      </c>
      <c r="O46" s="205"/>
      <c r="P46" s="203">
        <f>IF(P40=0,0,(P36+P25)/P38)</f>
        <v>5.5291931081498283E-2</v>
      </c>
      <c r="Q46" s="139"/>
    </row>
    <row r="47" spans="2:17" ht="25.5">
      <c r="B47" s="171">
        <v>22</v>
      </c>
      <c r="D47" s="28" t="s">
        <v>120</v>
      </c>
      <c r="F47" s="225">
        <f>'7. Cost_of_Capital'!L26</f>
        <v>5.9964205593985499E-2</v>
      </c>
      <c r="G47" s="205"/>
      <c r="H47" s="227">
        <f>'7. Cost_of_Capital'!L26</f>
        <v>5.9964205593985499E-2</v>
      </c>
      <c r="I47" s="197"/>
      <c r="J47" s="225">
        <f>'7. Cost_of_Capital'!L42</f>
        <v>5.5291931081498304E-2</v>
      </c>
      <c r="K47" s="205"/>
      <c r="L47" s="224">
        <f>'7. Cost_of_Capital'!L42</f>
        <v>5.5291931081498304E-2</v>
      </c>
      <c r="M47" s="197"/>
      <c r="N47" s="225">
        <f>'7. Cost_of_Capital'!L58</f>
        <v>5.5291931081498304E-2</v>
      </c>
      <c r="O47" s="205"/>
      <c r="P47" s="224">
        <f>'7. Cost_of_Capital'!L58</f>
        <v>5.5291931081498304E-2</v>
      </c>
      <c r="Q47" s="139"/>
    </row>
    <row r="48" spans="2:17" ht="25.5">
      <c r="B48" s="171">
        <v>23</v>
      </c>
      <c r="D48" s="28" t="s">
        <v>231</v>
      </c>
      <c r="F48" s="226">
        <f>F46-F47</f>
        <v>-8.3566512818546712E-3</v>
      </c>
      <c r="G48" s="205"/>
      <c r="H48" s="228">
        <f>H46-H47</f>
        <v>0</v>
      </c>
      <c r="I48" s="197"/>
      <c r="J48" s="226">
        <f>J46-J47</f>
        <v>-5.463987601085428E-3</v>
      </c>
      <c r="K48" s="205"/>
      <c r="L48" s="228">
        <f>L46-L47</f>
        <v>0</v>
      </c>
      <c r="M48" s="197"/>
      <c r="N48" s="226">
        <f>N46-N47</f>
        <v>-5.463987601085428E-3</v>
      </c>
      <c r="O48" s="205"/>
      <c r="P48" s="228">
        <f>P46-P47</f>
        <v>0</v>
      </c>
      <c r="Q48" s="139"/>
    </row>
    <row r="49" spans="2:17">
      <c r="B49" s="171"/>
      <c r="F49" s="204"/>
      <c r="G49" s="205"/>
      <c r="H49" s="199"/>
      <c r="I49" s="197"/>
      <c r="J49" s="204"/>
      <c r="K49" s="205"/>
      <c r="L49" s="199"/>
      <c r="M49" s="197"/>
      <c r="N49" s="204"/>
      <c r="O49" s="205"/>
      <c r="P49" s="199"/>
      <c r="Q49" s="139"/>
    </row>
    <row r="50" spans="2:17">
      <c r="B50" s="171">
        <v>24</v>
      </c>
      <c r="D50" s="5" t="s">
        <v>130</v>
      </c>
      <c r="F50" s="207">
        <f>H50</f>
        <v>4554.4211055546093</v>
      </c>
      <c r="G50" s="229"/>
      <c r="H50" s="206">
        <f>'7. Cost_of_Capital'!P24</f>
        <v>4554.4211055546093</v>
      </c>
      <c r="I50" s="230"/>
      <c r="J50" s="207">
        <f>L50</f>
        <v>4061.90839037462</v>
      </c>
      <c r="K50" s="229"/>
      <c r="L50" s="206">
        <f>'7. Cost_of_Capital'!P40</f>
        <v>4061.90839037462</v>
      </c>
      <c r="M50" s="230"/>
      <c r="N50" s="207">
        <f>P50</f>
        <v>4061.90839037462</v>
      </c>
      <c r="O50" s="229"/>
      <c r="P50" s="206">
        <f>'7. Cost_of_Capital'!P56</f>
        <v>4061.90839037462</v>
      </c>
      <c r="Q50" s="139"/>
    </row>
    <row r="51" spans="2:17">
      <c r="B51" s="171">
        <v>25</v>
      </c>
      <c r="D51" s="5" t="s">
        <v>161</v>
      </c>
      <c r="F51" s="207">
        <f>F50-F36</f>
        <v>1035.3566096256518</v>
      </c>
      <c r="G51" s="229" t="s">
        <v>121</v>
      </c>
      <c r="H51" s="214">
        <f>H38*H48</f>
        <v>0</v>
      </c>
      <c r="I51" s="230"/>
      <c r="J51" s="207">
        <f>J50-J36</f>
        <v>631.95378934373093</v>
      </c>
      <c r="K51" s="229"/>
      <c r="L51" s="214">
        <f>L38*L48</f>
        <v>0</v>
      </c>
      <c r="M51" s="230"/>
      <c r="N51" s="207">
        <f>N50-N36</f>
        <v>631.95378934373093</v>
      </c>
      <c r="O51" s="229"/>
      <c r="P51" s="214">
        <f>P38*P48</f>
        <v>0</v>
      </c>
      <c r="Q51" s="139"/>
    </row>
    <row r="52" spans="2:17" ht="25.5">
      <c r="B52" s="171">
        <v>26</v>
      </c>
      <c r="D52" s="56" t="s">
        <v>160</v>
      </c>
      <c r="F52" s="208">
        <f>F51/(1-F33)</f>
        <v>1371.4977666711936</v>
      </c>
      <c r="G52" s="231" t="s">
        <v>2</v>
      </c>
      <c r="H52" s="232"/>
      <c r="I52" s="230"/>
      <c r="J52" s="208">
        <f>J51/(1-J33)</f>
        <v>836.05094508669151</v>
      </c>
      <c r="K52" s="231" t="s">
        <v>2</v>
      </c>
      <c r="L52" s="232"/>
      <c r="M52" s="230"/>
      <c r="N52" s="208">
        <f>N51/(1-N33)</f>
        <v>836.05094508669151</v>
      </c>
      <c r="O52" s="231" t="s">
        <v>2</v>
      </c>
      <c r="P52" s="232"/>
    </row>
    <row r="55" spans="2:17">
      <c r="B55" s="578" t="s">
        <v>42</v>
      </c>
      <c r="C55" s="578"/>
      <c r="D55" s="578"/>
      <c r="E55" s="578"/>
      <c r="F55" s="578"/>
      <c r="G55" s="578"/>
      <c r="H55" s="578"/>
      <c r="I55" s="578"/>
      <c r="J55" s="74"/>
      <c r="K55" s="74"/>
      <c r="L55" s="74"/>
      <c r="M55" s="74"/>
      <c r="N55" s="74"/>
      <c r="O55" s="74"/>
    </row>
    <row r="56" spans="2:17">
      <c r="B56" s="18" t="s">
        <v>2</v>
      </c>
      <c r="D56" s="520" t="s">
        <v>234</v>
      </c>
      <c r="E56" s="520"/>
      <c r="F56" s="520"/>
      <c r="G56" s="520"/>
      <c r="H56" s="520"/>
      <c r="I56" s="520"/>
      <c r="J56" s="520"/>
      <c r="K56" s="520"/>
      <c r="L56" s="520"/>
      <c r="M56" s="520"/>
      <c r="N56" s="520"/>
      <c r="O56" s="520"/>
      <c r="P56" s="520"/>
    </row>
    <row r="57" spans="2:17">
      <c r="B57" s="365"/>
      <c r="D57" s="570"/>
      <c r="E57" s="570"/>
      <c r="F57" s="570"/>
      <c r="G57" s="570"/>
      <c r="H57" s="570"/>
      <c r="I57" s="570"/>
      <c r="J57" s="570"/>
      <c r="K57" s="570"/>
      <c r="L57" s="570"/>
      <c r="M57" s="570"/>
      <c r="N57" s="570"/>
      <c r="O57" s="570"/>
      <c r="P57" s="570"/>
    </row>
    <row r="58" spans="2:17">
      <c r="B58" s="365"/>
      <c r="D58" s="570"/>
      <c r="E58" s="570"/>
      <c r="F58" s="570"/>
      <c r="G58" s="570"/>
      <c r="H58" s="570"/>
      <c r="I58" s="570"/>
      <c r="J58" s="570"/>
      <c r="K58" s="570"/>
      <c r="L58" s="570"/>
      <c r="M58" s="570"/>
      <c r="N58" s="570"/>
      <c r="O58" s="570"/>
      <c r="P58" s="570"/>
    </row>
    <row r="59" spans="2:17">
      <c r="B59" s="365"/>
      <c r="D59" s="570"/>
      <c r="E59" s="570"/>
      <c r="F59" s="570"/>
      <c r="G59" s="570"/>
      <c r="H59" s="570"/>
      <c r="I59" s="570"/>
      <c r="J59" s="570"/>
      <c r="K59" s="570"/>
      <c r="L59" s="570"/>
      <c r="M59" s="570"/>
      <c r="N59" s="570"/>
      <c r="O59" s="570"/>
      <c r="P59" s="570"/>
    </row>
    <row r="60" spans="2:17">
      <c r="B60" s="365"/>
      <c r="D60" s="570"/>
      <c r="E60" s="570"/>
      <c r="F60" s="570"/>
      <c r="G60" s="570"/>
      <c r="H60" s="570"/>
      <c r="I60" s="570"/>
      <c r="J60" s="570"/>
      <c r="K60" s="570"/>
      <c r="L60" s="570"/>
      <c r="M60" s="570"/>
      <c r="N60" s="570"/>
      <c r="O60" s="570"/>
      <c r="P60" s="570"/>
    </row>
  </sheetData>
  <sheetProtection password="82A3" sheet="1" objects="1" scenarios="1" formatColumns="0" formatRows="0"/>
  <mergeCells count="22">
    <mergeCell ref="C1:O1"/>
    <mergeCell ref="C2:O2"/>
    <mergeCell ref="C3:O3"/>
    <mergeCell ref="C4:H4"/>
    <mergeCell ref="B55:I55"/>
    <mergeCell ref="D15:D16"/>
    <mergeCell ref="B15:B16"/>
    <mergeCell ref="F13:H13"/>
    <mergeCell ref="D60:P60"/>
    <mergeCell ref="D56:P56"/>
    <mergeCell ref="D58:P58"/>
    <mergeCell ref="D59:P59"/>
    <mergeCell ref="F8:P8"/>
    <mergeCell ref="H15:H16"/>
    <mergeCell ref="P15:P16"/>
    <mergeCell ref="F15:F16"/>
    <mergeCell ref="N13:P13"/>
    <mergeCell ref="N15:N16"/>
    <mergeCell ref="J13:L13"/>
    <mergeCell ref="J15:J16"/>
    <mergeCell ref="L15:L16"/>
    <mergeCell ref="D57:P57"/>
  </mergeCells>
  <phoneticPr fontId="2" type="noConversion"/>
  <conditionalFormatting sqref="J13:L13">
    <cfRule type="cellIs" dxfId="2" priority="1" stopIfTrue="1" operator="equal">
      <formula>""</formula>
    </cfRule>
  </conditionalFormatting>
  <pageMargins left="0.75" right="0.75" top="0.65" bottom="1" header="0.4" footer="0.5"/>
  <pageSetup scale="62" orientation="portrait" r:id="rId1"/>
  <headerFooter alignWithMargins="0">
    <oddFooter>&amp;C7</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B1:U45"/>
  <sheetViews>
    <sheetView showGridLines="0" topLeftCell="A7" zoomScaleNormal="100" zoomScaleSheetLayoutView="100" workbookViewId="0">
      <selection activeCell="N27" sqref="N27:O27"/>
    </sheetView>
  </sheetViews>
  <sheetFormatPr defaultColWidth="9.140625" defaultRowHeight="12.75"/>
  <cols>
    <col min="1" max="1" width="1.85546875" style="5" customWidth="1"/>
    <col min="2" max="2" width="5.7109375" style="5" customWidth="1"/>
    <col min="3" max="3" width="2.85546875" style="5" customWidth="1"/>
    <col min="4" max="4" width="31.28515625" style="5" customWidth="1"/>
    <col min="5" max="5" width="2.7109375" style="5" customWidth="1"/>
    <col min="6" max="6" width="18.7109375" style="5" customWidth="1"/>
    <col min="7" max="7" width="1.7109375" style="5" customWidth="1"/>
    <col min="8" max="8" width="3.7109375" style="5" customWidth="1"/>
    <col min="9" max="9" width="1.7109375" style="5" customWidth="1"/>
    <col min="10" max="10" width="18.7109375" style="5" customWidth="1"/>
    <col min="11" max="11" width="1.140625" style="5" customWidth="1"/>
    <col min="12" max="12" width="3.7109375" style="5" customWidth="1"/>
    <col min="13" max="13" width="1.140625" style="5" customWidth="1"/>
    <col min="14" max="14" width="6.7109375" style="5" customWidth="1"/>
    <col min="15" max="15" width="12.7109375" style="5" customWidth="1"/>
    <col min="16" max="16" width="1.140625" style="5" customWidth="1"/>
    <col min="17" max="17" width="3.7109375" style="5" customWidth="1"/>
    <col min="18" max="18" width="2.140625" style="5" customWidth="1"/>
    <col min="19" max="16384" width="9.140625" style="5"/>
  </cols>
  <sheetData>
    <row r="1" spans="2:18" s="2" customFormat="1" ht="21.75">
      <c r="C1" s="516"/>
      <c r="D1" s="516"/>
      <c r="E1" s="516"/>
      <c r="F1" s="516"/>
      <c r="G1" s="516"/>
      <c r="H1" s="516"/>
      <c r="I1" s="516"/>
      <c r="J1" s="516"/>
      <c r="K1" s="516"/>
      <c r="L1" s="516"/>
      <c r="M1" s="516"/>
      <c r="N1" s="516"/>
      <c r="O1" s="582"/>
      <c r="P1" s="582"/>
      <c r="Q1" s="582"/>
      <c r="R1" s="1"/>
    </row>
    <row r="2" spans="2:18" s="2" customFormat="1" ht="18">
      <c r="C2" s="567"/>
      <c r="D2" s="567"/>
      <c r="E2" s="567"/>
      <c r="F2" s="567"/>
      <c r="G2" s="567"/>
      <c r="H2" s="567"/>
      <c r="I2" s="567"/>
      <c r="J2" s="567"/>
      <c r="K2" s="567"/>
      <c r="L2" s="567"/>
      <c r="M2" s="567"/>
      <c r="N2" s="567"/>
      <c r="O2" s="567"/>
      <c r="P2" s="567"/>
      <c r="Q2" s="567"/>
      <c r="R2" s="567"/>
    </row>
    <row r="3" spans="2:18" s="2" customFormat="1" ht="18">
      <c r="C3" s="567"/>
      <c r="D3" s="567"/>
      <c r="E3" s="567"/>
      <c r="F3" s="567"/>
      <c r="G3" s="567"/>
      <c r="H3" s="567"/>
      <c r="I3" s="567"/>
      <c r="J3" s="567"/>
      <c r="K3" s="567"/>
      <c r="L3" s="567"/>
      <c r="M3" s="567"/>
      <c r="N3" s="567"/>
      <c r="O3" s="567"/>
      <c r="P3" s="567"/>
      <c r="Q3" s="567"/>
      <c r="R3" s="567"/>
    </row>
    <row r="4" spans="2:18" s="2" customFormat="1" ht="18">
      <c r="C4" s="567"/>
      <c r="D4" s="567"/>
      <c r="E4" s="567"/>
      <c r="F4" s="567"/>
      <c r="G4" s="567"/>
      <c r="H4" s="567"/>
      <c r="I4" s="567"/>
      <c r="J4" s="567"/>
      <c r="K4" s="567"/>
      <c r="L4" s="567"/>
      <c r="M4" s="567"/>
      <c r="N4" s="567"/>
      <c r="O4" s="38"/>
      <c r="P4" s="38"/>
      <c r="Q4" s="38"/>
      <c r="R4" s="38"/>
    </row>
    <row r="5" spans="2:18" s="2" customFormat="1" ht="15.75">
      <c r="E5" s="3"/>
      <c r="F5" s="3"/>
      <c r="G5" s="3"/>
    </row>
    <row r="6" spans="2:18" s="2" customFormat="1"/>
    <row r="8" spans="2:18" ht="15.75">
      <c r="D8" s="25"/>
      <c r="F8" s="594"/>
      <c r="G8" s="594"/>
      <c r="H8" s="594"/>
      <c r="I8" s="594"/>
      <c r="J8" s="594"/>
      <c r="K8" s="594"/>
      <c r="L8" s="594"/>
      <c r="M8" s="594"/>
      <c r="N8" s="594"/>
      <c r="O8" s="594"/>
      <c r="P8" s="40"/>
      <c r="Q8" s="39"/>
    </row>
    <row r="9" spans="2:18" ht="13.5" customHeight="1">
      <c r="F9" s="40"/>
      <c r="G9" s="40"/>
      <c r="H9" s="40"/>
      <c r="I9" s="40"/>
      <c r="J9" s="40"/>
      <c r="K9" s="40"/>
      <c r="L9" s="40"/>
      <c r="M9" s="40"/>
      <c r="N9" s="40"/>
      <c r="O9" s="40"/>
      <c r="P9" s="40"/>
      <c r="Q9" s="39"/>
    </row>
    <row r="10" spans="2:18" ht="18" customHeight="1">
      <c r="F10" s="40"/>
      <c r="G10" s="40"/>
      <c r="H10" s="40"/>
      <c r="I10" s="40"/>
      <c r="J10" s="40"/>
      <c r="K10" s="40"/>
      <c r="L10" s="40"/>
      <c r="M10" s="40"/>
      <c r="N10" s="40"/>
      <c r="O10" s="40"/>
      <c r="P10" s="40"/>
      <c r="Q10" s="39"/>
    </row>
    <row r="11" spans="2:18" ht="13.5" customHeight="1">
      <c r="B11" s="383" t="s">
        <v>250</v>
      </c>
      <c r="F11" s="40"/>
      <c r="G11" s="40"/>
      <c r="H11" s="40"/>
      <c r="I11" s="40"/>
      <c r="J11" s="40"/>
      <c r="K11" s="40"/>
      <c r="L11" s="40"/>
      <c r="M11" s="40"/>
      <c r="N11" s="40"/>
      <c r="O11" s="40"/>
      <c r="P11" s="40"/>
      <c r="Q11" s="39"/>
    </row>
    <row r="12" spans="2:18" ht="13.5" customHeight="1">
      <c r="F12" s="40"/>
      <c r="G12" s="40"/>
      <c r="H12" s="40"/>
      <c r="I12" s="40"/>
      <c r="J12" s="40"/>
      <c r="K12" s="40"/>
      <c r="L12" s="40"/>
      <c r="M12" s="40"/>
      <c r="N12" s="40"/>
      <c r="O12" s="40"/>
      <c r="P12" s="40"/>
      <c r="Q12" s="39"/>
    </row>
    <row r="13" spans="2:18" ht="39" customHeight="1">
      <c r="B13" s="389" t="s">
        <v>37</v>
      </c>
      <c r="D13" s="42" t="s">
        <v>36</v>
      </c>
      <c r="F13" s="307" t="s">
        <v>23</v>
      </c>
      <c r="G13" s="308"/>
      <c r="H13" s="308"/>
      <c r="I13" s="308"/>
      <c r="J13" s="309" t="str">
        <f>IF(ISBLANK('3. Data_Input_Sheet'!M12),"",'3. Data_Input_Sheet'!M12)</f>
        <v>Close of Discovery</v>
      </c>
      <c r="K13" s="308"/>
      <c r="L13" s="308"/>
      <c r="M13" s="308"/>
      <c r="N13" s="593" t="str">
        <f>'3. Data_Input_Sheet'!U12</f>
        <v>Per Board Decision</v>
      </c>
      <c r="O13" s="593"/>
      <c r="P13" s="145"/>
    </row>
    <row r="14" spans="2:18" ht="14.25" customHeight="1">
      <c r="B14" s="392"/>
      <c r="D14" s="44"/>
      <c r="F14" s="44"/>
      <c r="G14" s="44"/>
      <c r="H14" s="44"/>
      <c r="I14" s="44"/>
      <c r="J14" s="44"/>
      <c r="K14" s="44"/>
      <c r="L14" s="44"/>
      <c r="M14" s="44"/>
      <c r="N14" s="579"/>
      <c r="O14" s="579"/>
      <c r="P14" s="44"/>
    </row>
    <row r="15" spans="2:18">
      <c r="B15" s="352">
        <v>1</v>
      </c>
      <c r="D15" s="5" t="s">
        <v>140</v>
      </c>
      <c r="F15" s="45">
        <f>'5. Utility Income'!F22</f>
        <v>13032.88066833308</v>
      </c>
      <c r="G15" s="45"/>
      <c r="H15" s="367"/>
      <c r="I15" s="187"/>
      <c r="J15" s="45">
        <f>'5. Utility Income'!N22</f>
        <v>13032.88066833308</v>
      </c>
      <c r="K15" s="187"/>
      <c r="L15" s="367"/>
      <c r="M15" s="187"/>
      <c r="N15" s="591">
        <f>'5. Utility Income'!V22</f>
        <v>13032.88066833308</v>
      </c>
      <c r="O15" s="592"/>
      <c r="P15" s="153"/>
      <c r="Q15" s="367"/>
    </row>
    <row r="16" spans="2:18">
      <c r="B16" s="352">
        <v>2</v>
      </c>
      <c r="D16" s="5" t="s">
        <v>34</v>
      </c>
      <c r="F16" s="46">
        <f>'5. Utility Income'!F23</f>
        <v>5211.3096815439585</v>
      </c>
      <c r="G16" s="46"/>
      <c r="H16" s="367"/>
      <c r="I16" s="188"/>
      <c r="J16" s="175">
        <f>'5. Utility Income'!N23</f>
        <v>5034.5457926550698</v>
      </c>
      <c r="K16" s="188"/>
      <c r="L16" s="367"/>
      <c r="M16" s="188"/>
      <c r="N16" s="584">
        <f>'5. Utility Income'!V23</f>
        <v>5034.5457926550698</v>
      </c>
      <c r="O16" s="585"/>
      <c r="P16" s="150"/>
      <c r="Q16" s="367"/>
    </row>
    <row r="17" spans="2:21" ht="12.75" customHeight="1">
      <c r="B17" s="352">
        <v>3</v>
      </c>
      <c r="D17" s="5" t="s">
        <v>45</v>
      </c>
      <c r="F17" s="46">
        <f>'5. Utility Income'!F24</f>
        <v>168.47252681144457</v>
      </c>
      <c r="G17" s="46"/>
      <c r="H17" s="367"/>
      <c r="I17" s="188"/>
      <c r="J17" s="175">
        <f>'5. Utility Income'!N24</f>
        <v>168.47252681144457</v>
      </c>
      <c r="K17" s="188"/>
      <c r="L17" s="367"/>
      <c r="M17" s="188"/>
      <c r="N17" s="584">
        <f>'5. Utility Income'!V24</f>
        <v>168.47252681144457</v>
      </c>
      <c r="O17" s="585"/>
      <c r="P17" s="150"/>
      <c r="Q17" s="367"/>
    </row>
    <row r="18" spans="2:21" s="174" customFormat="1" ht="0.75" customHeight="1">
      <c r="B18" s="393">
        <v>4</v>
      </c>
      <c r="D18" s="174" t="s">
        <v>139</v>
      </c>
      <c r="F18" s="326">
        <f>'6. Taxes_PILs'!G25</f>
        <v>0</v>
      </c>
      <c r="G18" s="326"/>
      <c r="H18" s="327"/>
      <c r="I18" s="328"/>
      <c r="J18" s="329">
        <f>'6. Taxes_PILs'!K25</f>
        <v>0</v>
      </c>
      <c r="K18" s="328"/>
      <c r="L18" s="327"/>
      <c r="M18" s="328"/>
      <c r="N18" s="586">
        <f>'6. Taxes_PILs'!O25</f>
        <v>0</v>
      </c>
      <c r="O18" s="587"/>
      <c r="P18" s="330"/>
      <c r="Q18" s="327"/>
    </row>
    <row r="19" spans="2:21">
      <c r="B19" s="352">
        <v>5</v>
      </c>
      <c r="D19" s="5" t="s">
        <v>91</v>
      </c>
      <c r="F19" s="46">
        <f>'6. Taxes_PILs'!G33-F18</f>
        <v>496.1205704473133</v>
      </c>
      <c r="G19" s="46"/>
      <c r="H19" s="367"/>
      <c r="I19" s="188"/>
      <c r="J19" s="175">
        <f>'6. Taxes_PILs'!K33-J18</f>
        <v>466.84926741086099</v>
      </c>
      <c r="K19" s="188"/>
      <c r="L19" s="367"/>
      <c r="M19" s="188"/>
      <c r="N19" s="584">
        <f>'6. Taxes_PILs'!O33-N18</f>
        <v>466.84926741086099</v>
      </c>
      <c r="O19" s="585"/>
      <c r="P19" s="150"/>
      <c r="Q19" s="367"/>
    </row>
    <row r="20" spans="2:21">
      <c r="B20" s="352">
        <v>6</v>
      </c>
      <c r="D20" s="5" t="s">
        <v>134</v>
      </c>
      <c r="F20" s="46">
        <f>'5. Utility Income'!F26</f>
        <v>32.478756907871151</v>
      </c>
      <c r="G20" s="46"/>
      <c r="H20" s="367"/>
      <c r="I20" s="188"/>
      <c r="J20" s="152">
        <f>'5. Utility Income'!N26</f>
        <v>32.478756907871151</v>
      </c>
      <c r="K20" s="188"/>
      <c r="L20" s="367"/>
      <c r="M20" s="188"/>
      <c r="N20" s="583">
        <f>'5. Utility Income'!V26</f>
        <v>32.478756907871151</v>
      </c>
      <c r="O20" s="583"/>
      <c r="P20" s="152"/>
      <c r="Q20" s="367"/>
    </row>
    <row r="21" spans="2:21">
      <c r="B21" s="352">
        <v>7</v>
      </c>
      <c r="D21" s="5" t="s">
        <v>22</v>
      </c>
      <c r="F21" s="47"/>
      <c r="G21" s="47"/>
      <c r="H21" s="189"/>
      <c r="I21" s="189"/>
      <c r="J21" s="47"/>
      <c r="K21" s="189"/>
      <c r="L21" s="190"/>
      <c r="M21" s="189"/>
      <c r="N21" s="598"/>
      <c r="O21" s="599"/>
      <c r="P21" s="151"/>
      <c r="Q21" s="190"/>
    </row>
    <row r="22" spans="2:21">
      <c r="B22" s="352"/>
      <c r="D22" s="386" t="s">
        <v>95</v>
      </c>
      <c r="F22" s="49">
        <f>'8. Rev_Def_Suff'!F25</f>
        <v>2874.9108730923822</v>
      </c>
      <c r="G22" s="49"/>
      <c r="H22" s="367"/>
      <c r="I22" s="191"/>
      <c r="J22" s="49">
        <f>'8. Rev_Def_Suff'!L25</f>
        <v>2333.0448778472837</v>
      </c>
      <c r="K22" s="191"/>
      <c r="L22" s="367"/>
      <c r="M22" s="191"/>
      <c r="N22" s="588">
        <f>'8. Rev_Def_Suff'!P25</f>
        <v>2333.0448778472837</v>
      </c>
      <c r="O22" s="588"/>
      <c r="P22" s="149"/>
      <c r="Q22" s="367"/>
    </row>
    <row r="23" spans="2:21">
      <c r="B23" s="352"/>
      <c r="D23" s="386" t="s">
        <v>281</v>
      </c>
      <c r="F23" s="49">
        <f>'8. Rev_Def_Suff'!F50</f>
        <v>4554.4211055546093</v>
      </c>
      <c r="G23" s="49"/>
      <c r="H23" s="367"/>
      <c r="I23" s="191"/>
      <c r="J23" s="49">
        <f>'8. Rev_Def_Suff'!L50</f>
        <v>4061.90839037462</v>
      </c>
      <c r="K23" s="191"/>
      <c r="L23" s="367"/>
      <c r="M23" s="191"/>
      <c r="N23" s="588">
        <f>'8. Rev_Def_Suff'!P50</f>
        <v>4061.90839037462</v>
      </c>
      <c r="O23" s="588"/>
      <c r="P23" s="149"/>
      <c r="Q23" s="367"/>
    </row>
    <row r="24" spans="2:21">
      <c r="B24" s="352"/>
      <c r="C24" s="15"/>
      <c r="D24" s="15"/>
      <c r="E24" s="15"/>
      <c r="F24" s="50"/>
      <c r="G24" s="48"/>
      <c r="H24" s="192"/>
      <c r="I24" s="192"/>
      <c r="J24" s="50"/>
      <c r="K24" s="192"/>
      <c r="L24" s="192"/>
      <c r="M24" s="192"/>
      <c r="N24" s="50"/>
      <c r="O24" s="51"/>
      <c r="P24" s="151"/>
      <c r="Q24" s="192"/>
      <c r="R24" s="15"/>
      <c r="S24" s="15"/>
      <c r="T24" s="15"/>
      <c r="U24" s="15"/>
    </row>
    <row r="25" spans="2:21" ht="26.25" thickBot="1">
      <c r="B25" s="352">
        <v>8</v>
      </c>
      <c r="C25" s="15"/>
      <c r="D25" s="56" t="s">
        <v>240</v>
      </c>
      <c r="E25" s="15"/>
      <c r="F25" s="52">
        <f>SUM(F15:F23)</f>
        <v>26370.594182690664</v>
      </c>
      <c r="G25" s="48"/>
      <c r="H25" s="367"/>
      <c r="I25" s="192"/>
      <c r="J25" s="52">
        <f>SUM(J15:J23)</f>
        <v>25130.180280340232</v>
      </c>
      <c r="K25" s="192"/>
      <c r="L25" s="367"/>
      <c r="M25" s="192"/>
      <c r="N25" s="540">
        <f>SUM(N15:O23)</f>
        <v>25130.180280340232</v>
      </c>
      <c r="O25" s="540"/>
      <c r="P25" s="49"/>
      <c r="Q25" s="367"/>
      <c r="R25" s="15"/>
      <c r="S25" s="15"/>
      <c r="T25" s="15"/>
      <c r="U25" s="15"/>
    </row>
    <row r="26" spans="2:21" ht="13.5" thickTop="1">
      <c r="B26" s="352"/>
      <c r="C26" s="15"/>
      <c r="D26" s="28"/>
      <c r="E26" s="15"/>
      <c r="F26" s="48"/>
      <c r="G26" s="48"/>
      <c r="H26" s="186"/>
      <c r="I26" s="351"/>
      <c r="J26" s="107"/>
      <c r="K26" s="351"/>
      <c r="L26" s="186"/>
      <c r="M26" s="351"/>
      <c r="N26" s="149"/>
      <c r="O26" s="149"/>
      <c r="P26" s="149"/>
      <c r="Q26" s="186"/>
      <c r="R26" s="15"/>
      <c r="S26" s="15"/>
      <c r="T26" s="15"/>
      <c r="U26" s="15"/>
    </row>
    <row r="27" spans="2:21">
      <c r="B27" s="352">
        <v>9</v>
      </c>
      <c r="C27" s="15"/>
      <c r="D27" s="28" t="s">
        <v>241</v>
      </c>
      <c r="E27" s="15"/>
      <c r="F27" s="55">
        <f>'3. Data_Input_Sheet'!E33</f>
        <v>1395.4404881099958</v>
      </c>
      <c r="G27" s="48"/>
      <c r="H27" s="367"/>
      <c r="I27" s="192"/>
      <c r="J27" s="55">
        <f>'3. Data_Input_Sheet'!M33</f>
        <v>1389.649886392134</v>
      </c>
      <c r="K27" s="192"/>
      <c r="L27" s="367"/>
      <c r="M27" s="192"/>
      <c r="N27" s="548">
        <f>'3. Data_Input_Sheet'!U33</f>
        <v>1389.649886392134</v>
      </c>
      <c r="O27" s="548"/>
      <c r="P27" s="49"/>
      <c r="Q27" s="367"/>
      <c r="R27" s="15"/>
      <c r="S27" s="15"/>
      <c r="T27" s="15"/>
      <c r="U27" s="15"/>
    </row>
    <row r="28" spans="2:21" ht="13.5" thickBot="1">
      <c r="B28" s="352">
        <v>10</v>
      </c>
      <c r="C28" s="15"/>
      <c r="D28" s="56" t="s">
        <v>242</v>
      </c>
      <c r="E28" s="15"/>
      <c r="F28" s="350">
        <f>F25-F27</f>
        <v>24975.153694580669</v>
      </c>
      <c r="G28" s="48"/>
      <c r="H28" s="367"/>
      <c r="I28" s="192"/>
      <c r="J28" s="350">
        <f>J25-J27</f>
        <v>23740.530393948098</v>
      </c>
      <c r="K28" s="192"/>
      <c r="L28" s="367"/>
      <c r="M28" s="192"/>
      <c r="N28" s="590">
        <f>N25-N27</f>
        <v>23740.530393948098</v>
      </c>
      <c r="O28" s="590"/>
      <c r="P28" s="49"/>
      <c r="Q28" s="367"/>
      <c r="R28" s="15"/>
      <c r="S28" s="15"/>
      <c r="T28" s="15"/>
      <c r="U28" s="15"/>
    </row>
    <row r="29" spans="2:21" ht="25.5" customHeight="1" thickTop="1">
      <c r="B29" s="352"/>
      <c r="C29" s="15"/>
      <c r="D29" s="355" t="s">
        <v>249</v>
      </c>
      <c r="E29" s="15"/>
      <c r="F29" s="48"/>
      <c r="G29" s="48"/>
      <c r="H29" s="354"/>
      <c r="I29" s="192"/>
      <c r="J29" s="48"/>
      <c r="K29" s="192"/>
      <c r="L29" s="354"/>
      <c r="M29" s="192"/>
      <c r="N29" s="49"/>
      <c r="O29" s="49"/>
      <c r="P29" s="49"/>
      <c r="Q29" s="354"/>
      <c r="R29" s="15"/>
      <c r="S29" s="15"/>
      <c r="T29" s="15"/>
      <c r="U29" s="15"/>
    </row>
    <row r="30" spans="2:21">
      <c r="B30" s="352"/>
      <c r="F30" s="53"/>
      <c r="G30" s="53"/>
      <c r="H30" s="188"/>
      <c r="I30" s="188"/>
      <c r="J30" s="53"/>
      <c r="K30" s="188"/>
      <c r="L30" s="188"/>
      <c r="M30" s="188"/>
      <c r="N30" s="589"/>
      <c r="O30" s="589"/>
      <c r="P30" s="158"/>
      <c r="Q30" s="188"/>
    </row>
    <row r="31" spans="2:21">
      <c r="B31" s="352">
        <v>11</v>
      </c>
      <c r="D31" s="5" t="s">
        <v>52</v>
      </c>
      <c r="F31" s="46">
        <f>'5. Utility Income'!F16</f>
        <v>24975.153694580666</v>
      </c>
      <c r="G31" s="46"/>
      <c r="H31" s="367"/>
      <c r="I31" s="188"/>
      <c r="J31" s="46">
        <f>'5. Utility Income'!N16</f>
        <v>23740.530393948098</v>
      </c>
      <c r="K31" s="188"/>
      <c r="L31" s="367"/>
      <c r="M31" s="188"/>
      <c r="N31" s="584">
        <f>'5. Utility Income'!V16</f>
        <v>23740.530393948098</v>
      </c>
      <c r="O31" s="585"/>
      <c r="P31" s="150"/>
      <c r="Q31" s="367"/>
    </row>
    <row r="32" spans="2:21">
      <c r="B32" s="352">
        <v>12</v>
      </c>
      <c r="D32" s="5" t="s">
        <v>35</v>
      </c>
      <c r="F32" s="54">
        <f>'5. Utility Income'!F17</f>
        <v>1395.4404881099958</v>
      </c>
      <c r="G32" s="47"/>
      <c r="H32" s="367"/>
      <c r="I32" s="193"/>
      <c r="J32" s="54">
        <f>'5. Utility Income'!N17</f>
        <v>1389.649886392134</v>
      </c>
      <c r="K32" s="193"/>
      <c r="L32" s="367"/>
      <c r="M32" s="193"/>
      <c r="N32" s="553">
        <f>'5. Utility Income'!V17</f>
        <v>1389.649886392134</v>
      </c>
      <c r="O32" s="600"/>
      <c r="P32" s="151"/>
      <c r="Q32" s="367"/>
    </row>
    <row r="33" spans="2:17">
      <c r="B33" s="352"/>
      <c r="F33" s="539">
        <f>SUM(F31:F32)</f>
        <v>26370.59418269066</v>
      </c>
      <c r="G33" s="49"/>
      <c r="H33" s="191"/>
      <c r="I33" s="191"/>
      <c r="J33" s="539">
        <f>SUM(J31:J32)</f>
        <v>25130.180280340232</v>
      </c>
      <c r="K33" s="191"/>
      <c r="L33" s="191"/>
      <c r="M33" s="191"/>
      <c r="N33" s="539">
        <f>SUM(N31:N32)</f>
        <v>25130.180280340232</v>
      </c>
      <c r="O33" s="545"/>
      <c r="P33" s="159"/>
      <c r="Q33" s="191"/>
    </row>
    <row r="34" spans="2:17">
      <c r="B34" s="352">
        <v>13</v>
      </c>
      <c r="D34" s="16" t="s">
        <v>40</v>
      </c>
      <c r="F34" s="548"/>
      <c r="G34" s="49"/>
      <c r="H34" s="367"/>
      <c r="I34" s="191"/>
      <c r="J34" s="548"/>
      <c r="K34" s="191"/>
      <c r="L34" s="367"/>
      <c r="M34" s="191"/>
      <c r="N34" s="548"/>
      <c r="O34" s="595"/>
      <c r="P34" s="159"/>
      <c r="Q34" s="367"/>
    </row>
    <row r="35" spans="2:17">
      <c r="B35" s="352"/>
      <c r="F35" s="588">
        <f>F33-F25</f>
        <v>0</v>
      </c>
      <c r="G35" s="149"/>
      <c r="H35" s="194"/>
      <c r="I35" s="194"/>
      <c r="J35" s="588">
        <f>J33-J25</f>
        <v>0</v>
      </c>
      <c r="K35" s="194"/>
      <c r="L35" s="194"/>
      <c r="M35" s="194"/>
      <c r="N35" s="549">
        <f>N33-N25</f>
        <v>0</v>
      </c>
      <c r="O35" s="596"/>
      <c r="P35" s="160"/>
      <c r="Q35" s="4"/>
    </row>
    <row r="36" spans="2:17" ht="39" thickBot="1">
      <c r="B36" s="352">
        <v>14</v>
      </c>
      <c r="D36" s="56" t="s">
        <v>144</v>
      </c>
      <c r="F36" s="550"/>
      <c r="G36" s="149"/>
      <c r="H36" s="195" t="s">
        <v>2</v>
      </c>
      <c r="I36" s="195"/>
      <c r="J36" s="550"/>
      <c r="K36" s="195"/>
      <c r="L36" s="195" t="s">
        <v>2</v>
      </c>
      <c r="M36" s="195"/>
      <c r="N36" s="550"/>
      <c r="O36" s="597"/>
      <c r="P36" s="160"/>
      <c r="Q36" s="196" t="s">
        <v>2</v>
      </c>
    </row>
    <row r="37" spans="2:17" ht="13.5" thickTop="1">
      <c r="F37" s="57"/>
      <c r="G37" s="57"/>
      <c r="H37" s="57"/>
      <c r="I37" s="57"/>
      <c r="J37" s="57"/>
      <c r="K37" s="57"/>
      <c r="L37" s="57"/>
      <c r="M37" s="57"/>
      <c r="N37" s="57"/>
      <c r="O37" s="57"/>
      <c r="P37" s="57"/>
    </row>
    <row r="38" spans="2:17">
      <c r="B38" s="557" t="s">
        <v>38</v>
      </c>
      <c r="C38" s="557"/>
      <c r="D38" s="557"/>
      <c r="E38" s="557"/>
      <c r="F38" s="557"/>
      <c r="G38" s="557"/>
      <c r="H38" s="557"/>
      <c r="I38" s="557"/>
      <c r="J38" s="557"/>
      <c r="K38" s="557"/>
      <c r="L38" s="557"/>
      <c r="M38" s="557"/>
      <c r="N38" s="557"/>
      <c r="O38" s="557"/>
      <c r="P38" s="148"/>
    </row>
    <row r="39" spans="2:17">
      <c r="B39" s="18" t="s">
        <v>2</v>
      </c>
      <c r="D39" s="5" t="s">
        <v>142</v>
      </c>
    </row>
    <row r="40" spans="2:17">
      <c r="B40" s="365"/>
      <c r="D40" s="570"/>
      <c r="E40" s="570"/>
      <c r="F40" s="570"/>
      <c r="G40" s="570"/>
      <c r="H40" s="570"/>
      <c r="I40" s="570"/>
      <c r="J40" s="570"/>
      <c r="K40" s="570"/>
      <c r="L40" s="570"/>
      <c r="M40" s="570"/>
      <c r="N40" s="570"/>
      <c r="O40" s="570"/>
      <c r="P40" s="570"/>
      <c r="Q40" s="570"/>
    </row>
    <row r="41" spans="2:17">
      <c r="B41" s="365"/>
      <c r="D41" s="570"/>
      <c r="E41" s="570"/>
      <c r="F41" s="570"/>
      <c r="G41" s="570"/>
      <c r="H41" s="570"/>
      <c r="I41" s="570"/>
      <c r="J41" s="570"/>
      <c r="K41" s="570"/>
      <c r="L41" s="570"/>
      <c r="M41" s="570"/>
      <c r="N41" s="570"/>
      <c r="O41" s="570"/>
      <c r="P41" s="570"/>
      <c r="Q41" s="570"/>
    </row>
    <row r="42" spans="2:17">
      <c r="B42" s="365"/>
      <c r="D42" s="570"/>
      <c r="E42" s="570"/>
      <c r="F42" s="570"/>
      <c r="G42" s="570"/>
      <c r="H42" s="570"/>
      <c r="I42" s="570"/>
      <c r="J42" s="570"/>
      <c r="K42" s="570"/>
      <c r="L42" s="570"/>
      <c r="M42" s="570"/>
      <c r="N42" s="570"/>
      <c r="O42" s="570"/>
      <c r="P42" s="570"/>
      <c r="Q42" s="570"/>
    </row>
    <row r="43" spans="2:17">
      <c r="B43" s="365"/>
      <c r="D43" s="570"/>
      <c r="E43" s="570"/>
      <c r="F43" s="570"/>
      <c r="G43" s="570"/>
      <c r="H43" s="570"/>
      <c r="I43" s="570"/>
      <c r="J43" s="570"/>
      <c r="K43" s="570"/>
      <c r="L43" s="570"/>
      <c r="M43" s="570"/>
      <c r="N43" s="570"/>
      <c r="O43" s="570"/>
      <c r="P43" s="570"/>
      <c r="Q43" s="570"/>
    </row>
    <row r="44" spans="2:17">
      <c r="B44" s="365"/>
      <c r="D44" s="570"/>
      <c r="E44" s="570"/>
      <c r="F44" s="570"/>
      <c r="G44" s="570"/>
      <c r="H44" s="570"/>
      <c r="I44" s="570"/>
      <c r="J44" s="570"/>
      <c r="K44" s="570"/>
      <c r="L44" s="570"/>
      <c r="M44" s="570"/>
      <c r="N44" s="570"/>
      <c r="O44" s="570"/>
      <c r="P44" s="570"/>
      <c r="Q44" s="570"/>
    </row>
    <row r="45" spans="2:17">
      <c r="B45" s="365"/>
      <c r="D45" s="570"/>
      <c r="E45" s="570"/>
      <c r="F45" s="570"/>
      <c r="G45" s="570"/>
      <c r="H45" s="570"/>
      <c r="I45" s="570"/>
      <c r="J45" s="570"/>
      <c r="K45" s="570"/>
      <c r="L45" s="570"/>
      <c r="M45" s="570"/>
      <c r="N45" s="570"/>
      <c r="O45" s="570"/>
      <c r="P45" s="570"/>
      <c r="Q45" s="570"/>
    </row>
  </sheetData>
  <sheetProtection password="82A3" sheet="1" objects="1" scenarios="1" formatColumns="0" formatRows="0"/>
  <mergeCells count="36">
    <mergeCell ref="D43:Q43"/>
    <mergeCell ref="D44:Q44"/>
    <mergeCell ref="D45:Q45"/>
    <mergeCell ref="N16:O16"/>
    <mergeCell ref="N17:O17"/>
    <mergeCell ref="N21:O21"/>
    <mergeCell ref="N25:O25"/>
    <mergeCell ref="D40:Q40"/>
    <mergeCell ref="D41:Q41"/>
    <mergeCell ref="B38:O38"/>
    <mergeCell ref="N32:O32"/>
    <mergeCell ref="J33:J34"/>
    <mergeCell ref="J35:J36"/>
    <mergeCell ref="F35:F36"/>
    <mergeCell ref="F33:F34"/>
    <mergeCell ref="N13:O13"/>
    <mergeCell ref="F8:O8"/>
    <mergeCell ref="D42:Q42"/>
    <mergeCell ref="N33:O34"/>
    <mergeCell ref="N35:O36"/>
    <mergeCell ref="C1:N1"/>
    <mergeCell ref="O1:Q1"/>
    <mergeCell ref="N20:O20"/>
    <mergeCell ref="N31:O31"/>
    <mergeCell ref="N18:O18"/>
    <mergeCell ref="N19:O19"/>
    <mergeCell ref="N22:O22"/>
    <mergeCell ref="N23:O23"/>
    <mergeCell ref="N30:O30"/>
    <mergeCell ref="N27:O27"/>
    <mergeCell ref="N28:O28"/>
    <mergeCell ref="C2:R2"/>
    <mergeCell ref="C3:R3"/>
    <mergeCell ref="C4:N4"/>
    <mergeCell ref="N15:O15"/>
    <mergeCell ref="N14:O14"/>
  </mergeCells>
  <phoneticPr fontId="2" type="noConversion"/>
  <conditionalFormatting sqref="J13">
    <cfRule type="cellIs" dxfId="1" priority="1" stopIfTrue="1" operator="equal">
      <formula>""</formula>
    </cfRule>
  </conditionalFormatting>
  <pageMargins left="0.75" right="0.75" top="0.64" bottom="1" header="0.5" footer="0.5"/>
  <pageSetup scale="75" orientation="portrait" r:id="rId1"/>
  <headerFooter alignWithMargins="0">
    <oddFooter>&amp;C8</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10</vt:i4>
      </vt:variant>
    </vt:vector>
  </HeadingPairs>
  <TitlesOfParts>
    <vt:vector size="22" baseType="lpstr">
      <vt:lpstr>1. Info</vt:lpstr>
      <vt:lpstr>2. Table of Contents</vt:lpstr>
      <vt:lpstr>3. Data_Input_Sheet</vt:lpstr>
      <vt:lpstr>4. Rate_Base</vt:lpstr>
      <vt:lpstr>5. Utility Income</vt:lpstr>
      <vt:lpstr>6. Taxes_PILs</vt:lpstr>
      <vt:lpstr>7. Cost_of_Capital</vt:lpstr>
      <vt:lpstr>8. Rev_Def_Suff</vt:lpstr>
      <vt:lpstr>9. Rev_Reqt</vt:lpstr>
      <vt:lpstr>10. Tracking_Sheet</vt:lpstr>
      <vt:lpstr>Not part of Model ==&gt;</vt:lpstr>
      <vt:lpstr>Data</vt:lpstr>
      <vt:lpstr>'1. Info'!Print_Area</vt:lpstr>
      <vt:lpstr>'10. Tracking_Sheet'!Print_Area</vt:lpstr>
      <vt:lpstr>'2. Table of Contents'!Print_Area</vt:lpstr>
      <vt:lpstr>'3. Data_Input_Sheet'!Print_Area</vt:lpstr>
      <vt:lpstr>'4. Rate_Base'!Print_Area</vt:lpstr>
      <vt:lpstr>'5. Utility Income'!Print_Area</vt:lpstr>
      <vt:lpstr>'6. Taxes_PILs'!Print_Area</vt:lpstr>
      <vt:lpstr>'7. Cost_of_Capital'!Print_Area</vt:lpstr>
      <vt:lpstr>'8. Rev_Def_Suff'!Print_Area</vt:lpstr>
      <vt:lpstr>'9. Rev_Reqt'!Print_Area</vt:lpstr>
    </vt:vector>
  </TitlesOfParts>
  <Company>Ontario Energy Board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Keith C. Ritchie</dc:creator>
  <cp:lastModifiedBy>David Savage</cp:lastModifiedBy>
  <cp:lastPrinted>2017-06-29T14:21:58Z</cp:lastPrinted>
  <dcterms:created xsi:type="dcterms:W3CDTF">2008-10-20T17:39:17Z</dcterms:created>
  <dcterms:modified xsi:type="dcterms:W3CDTF">2017-07-04T14:20:59Z</dcterms:modified>
</cp:coreProperties>
</file>